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ella\Documents\COORDINAMENTO 2013\PERFORMANCE\2017\RELAZIONE 2017\RELAZIONE\DOCUMENTI FINALI APPROVAZIONE ORGANI E NVI 21 GIUGNO 2018\"/>
    </mc:Choice>
  </mc:AlternateContent>
  <bookViews>
    <workbookView xWindow="0" yWindow="0" windowWidth="14940" windowHeight="12270"/>
  </bookViews>
  <sheets>
    <sheet name="TOTALE" sheetId="1" r:id="rId1"/>
  </sheets>
  <definedNames>
    <definedName name="_xlnm._FilterDatabase" localSheetId="0" hidden="1">TOTALE!$A$1:$F$135</definedName>
    <definedName name="_xlnm.Print_Area" localSheetId="0">TOTALE!$A$1:$Q$135</definedName>
    <definedName name="_xlnm.Print_Titles" localSheetId="0">TOTALE!$1:$1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1" l="1"/>
  <c r="Q130" i="1" l="1"/>
  <c r="O130" i="1"/>
  <c r="Q126" i="1"/>
  <c r="O126" i="1"/>
  <c r="N109" i="1"/>
  <c r="N90" i="1"/>
  <c r="Q59" i="1"/>
  <c r="O59" i="1"/>
  <c r="N73" i="1"/>
  <c r="N68" i="1"/>
  <c r="N64" i="1"/>
  <c r="N59" i="1"/>
  <c r="F51" i="1"/>
  <c r="F50" i="1"/>
  <c r="N42" i="1"/>
  <c r="N37" i="1"/>
  <c r="N32" i="1"/>
  <c r="N27" i="1"/>
  <c r="N22" i="1"/>
  <c r="N17" i="1"/>
  <c r="N12" i="1"/>
  <c r="N7" i="1"/>
  <c r="N2" i="1"/>
  <c r="F94" i="1"/>
  <c r="F93" i="1"/>
  <c r="F92" i="1"/>
  <c r="F91" i="1"/>
  <c r="G90" i="1" s="1"/>
  <c r="F90" i="1"/>
  <c r="L109" i="1" l="1"/>
  <c r="F113" i="1"/>
  <c r="L27" i="1" l="1"/>
  <c r="I27" i="1"/>
  <c r="G27" i="1"/>
  <c r="H27" i="1" s="1"/>
  <c r="M27" i="1" s="1"/>
  <c r="J17" i="1"/>
  <c r="L17" i="1" s="1"/>
  <c r="I17" i="1"/>
  <c r="H17" i="1"/>
  <c r="M17" i="1" s="1"/>
  <c r="G17" i="1"/>
  <c r="J22" i="1"/>
  <c r="I22" i="1"/>
  <c r="G22" i="1"/>
  <c r="H22" i="1" s="1"/>
  <c r="M22" i="1" s="1"/>
  <c r="F26" i="1"/>
  <c r="F25" i="1"/>
  <c r="F24" i="1"/>
  <c r="F23" i="1"/>
  <c r="F22" i="1"/>
  <c r="F21" i="1"/>
  <c r="F20" i="1"/>
  <c r="F19" i="1"/>
  <c r="F18" i="1"/>
  <c r="F17" i="1"/>
  <c r="L22" i="1" l="1"/>
  <c r="L100" i="1" l="1"/>
  <c r="J100" i="1"/>
  <c r="L64" i="1"/>
  <c r="H64" i="1"/>
  <c r="Q42" i="1"/>
  <c r="L47" i="1"/>
  <c r="Q2" i="1"/>
  <c r="L12" i="1"/>
  <c r="L7" i="1"/>
  <c r="L2" i="1"/>
  <c r="L73" i="1" l="1"/>
  <c r="J73" i="1"/>
  <c r="F77" i="1"/>
  <c r="L59" i="1"/>
  <c r="J59" i="1"/>
  <c r="F63" i="1"/>
  <c r="J42" i="1"/>
  <c r="F73" i="1" l="1"/>
  <c r="G100" i="1"/>
  <c r="H100" i="1" s="1"/>
  <c r="H90" i="1"/>
  <c r="F76" i="1"/>
  <c r="F75" i="1"/>
  <c r="F74" i="1"/>
  <c r="G73" i="1" s="1"/>
  <c r="F62" i="1"/>
  <c r="F61" i="1"/>
  <c r="F60" i="1"/>
  <c r="F59" i="1"/>
  <c r="G59" i="1" s="1"/>
  <c r="M100" i="1" l="1"/>
  <c r="H73" i="1"/>
  <c r="H59" i="1"/>
  <c r="F71" i="1" l="1"/>
  <c r="F70" i="1"/>
  <c r="F69" i="1"/>
  <c r="F68" i="1"/>
  <c r="G68" i="1" l="1"/>
  <c r="F112" i="1"/>
  <c r="I109" i="1" s="1"/>
  <c r="F111" i="1"/>
  <c r="F110" i="1"/>
  <c r="F109" i="1"/>
  <c r="G109" i="1" s="1"/>
  <c r="H109" i="1" s="1"/>
  <c r="G83" i="1"/>
  <c r="I47" i="1"/>
  <c r="N47" i="1" s="1"/>
  <c r="G47" i="1"/>
  <c r="H47" i="1" s="1"/>
  <c r="I42" i="1"/>
  <c r="L42" i="1" s="1"/>
  <c r="H42" i="1"/>
  <c r="G42" i="1"/>
  <c r="I37" i="1"/>
  <c r="G37" i="1"/>
  <c r="H37" i="1" s="1"/>
  <c r="I32" i="1"/>
  <c r="G32" i="1"/>
  <c r="H32" i="1" s="1"/>
  <c r="G12" i="1"/>
  <c r="G7" i="1"/>
  <c r="G2" i="1"/>
  <c r="L32" i="1" l="1"/>
  <c r="H7" i="1"/>
  <c r="M7" i="1"/>
  <c r="H12" i="1"/>
  <c r="M12" i="1"/>
  <c r="H83" i="1"/>
  <c r="H2" i="1"/>
  <c r="M2" i="1"/>
  <c r="H68" i="1"/>
  <c r="L68" i="1"/>
</calcChain>
</file>

<file path=xl/sharedStrings.xml><?xml version="1.0" encoding="utf-8"?>
<sst xmlns="http://schemas.openxmlformats.org/spreadsheetml/2006/main" count="412" uniqueCount="264">
  <si>
    <t>DESCRIZIONE DATI RICHIESTI</t>
  </si>
  <si>
    <t>OBIETTIVO STRATEGICO</t>
  </si>
  <si>
    <t>A1.1-Migliorare il risultati della didattica e ridurre la dispersione studentesca, anche in relazione ai criteri di ripartizione del Fondo di Funzionamento Ordinario- FFO</t>
  </si>
  <si>
    <t>TARGET</t>
  </si>
  <si>
    <t>Riduzione del 1% rispetto alla media % attestata nel triennio 2013/15</t>
  </si>
  <si>
    <t>ABBANDONI PRIMO ANNO RIFERITI AL 2013</t>
  </si>
  <si>
    <t>ABBANDONI PRIMO ANNO RIFERITI AL 2014</t>
  </si>
  <si>
    <t>ABBANDONI PRIMO ANNO RIFERITI AL 2015</t>
  </si>
  <si>
    <t>Aumentare del 1% rispetto alla media % attestata nel triennio 2013/15</t>
  </si>
  <si>
    <t>INDICATORE</t>
  </si>
  <si>
    <t>Percentuali di abbandoni al primo anno</t>
  </si>
  <si>
    <t>Percentuali laureati in corso per anno solare</t>
  </si>
  <si>
    <t>LAUREATI IN CORSO ANNO 2016</t>
  </si>
  <si>
    <t>LAUREATI IN CORSO ANNO 2013</t>
  </si>
  <si>
    <t>LAUREATI IN CORSO ANNO 2014</t>
  </si>
  <si>
    <t>LAUREATI IN CORSO ANNO 2015</t>
  </si>
  <si>
    <t>A2.1-Rafforzare la dimensione internazionale della didattica</t>
  </si>
  <si>
    <t>n. studenti in mobilità in entrata più in uscita /totale studenti</t>
  </si>
  <si>
    <t>Aumentare del 2% rispetto alla media % attestata nel triennio 2013/15</t>
  </si>
  <si>
    <t>n. docenti in mobilità in entrata più in uscita/ totale docenti</t>
  </si>
  <si>
    <t>n. iniziative di orientamento in ingresso</t>
  </si>
  <si>
    <t>N. INIZIATIVE ORIENTAMENTO IN INGRESSO 2016</t>
  </si>
  <si>
    <t>N. INIZIATIVE ORIENTAMENTO IN INGRESSO 2013</t>
  </si>
  <si>
    <t>N. INIZIATIVE ORIENTAMENTO IN INGRESSO 2014</t>
  </si>
  <si>
    <t>N. INIZIATIVE ORIENTAMENTO IN INGRESSO 2015</t>
  </si>
  <si>
    <t xml:space="preserve">n. servizi attivati </t>
  </si>
  <si>
    <r>
      <t xml:space="preserve">Aumentare di un numero </t>
    </r>
    <r>
      <rPr>
        <sz val="11"/>
        <color theme="1"/>
        <rFont val="Calibri"/>
        <family val="2"/>
        <scheme val="minor"/>
      </rPr>
      <t xml:space="preserve">≥ </t>
    </r>
    <r>
      <rPr>
        <sz val="9"/>
        <color theme="1"/>
        <rFont val="Calibri"/>
        <family val="2"/>
        <scheme val="minor"/>
      </rPr>
      <t>3 rispetto alla media attestata nel triennio 2013/15</t>
    </r>
  </si>
  <si>
    <t>N. SERVIZI ATTIVATI A SUPPORTO DIDATTICA 2016</t>
  </si>
  <si>
    <t>N. SERVIZI ATTIVATI A SUPPORTO DIDATTICA 2013</t>
  </si>
  <si>
    <t>N. SERVIZI ATTIVATI A SUPPORTO DIDATTICA 2014</t>
  </si>
  <si>
    <t>N. SERVIZI ATTIVATI A SUPPORTO DIDATTICA 2015</t>
  </si>
  <si>
    <t>n. servizi on line</t>
  </si>
  <si>
    <t>N. SERVIZI ON LINE ATTIVATI A SUPPORTO DIDATTICA 2016</t>
  </si>
  <si>
    <t>N. SERVIZI ON LINE ATTIVATI A SUPPORTO DIDATTICA 2013</t>
  </si>
  <si>
    <t>N. SERVIZI ON LINE ATTIVATI A SUPPORTO DIDATTICA 2014</t>
  </si>
  <si>
    <t>N. SERVIZI ON LINE ATTIVATI A SUPPORTO DIDATTICA 2015</t>
  </si>
  <si>
    <t>A3.3-Migliorare gli ulteriori servizi offerti agli studenti (attività sportive, culturali e sociali)</t>
  </si>
  <si>
    <t xml:space="preserve">n. dei servizi attivati </t>
  </si>
  <si>
    <t>N. SERVIZI ATTIVATI (SPORTIVI, CULT. SOCIALI) OFFERTI AGLI STUDENTI 2016</t>
  </si>
  <si>
    <t>N. SERVIZI ATTIVATI (SPORTIVI, CULT. SOCIALI) OFFERTI AGLI STUDENTI 2013</t>
  </si>
  <si>
    <t>N. SERVIZI ATTIVATI (SPORTIVI, CULT. SOCIALI) OFFERTI AGLI STUDENTI 2014</t>
  </si>
  <si>
    <t>N. SERVIZI ATTIVATI (SPORTIVI, CULT. SOCIALI) OFFERTI AGLI STUDENTI 2015</t>
  </si>
  <si>
    <t>n. di studenti che usufruiscono dei servizi/ n. totale dei servizi attivati</t>
  </si>
  <si>
    <t>N. STUDENTI CHE USUFRUISCONO DEI SERVIZI ATTIVATI (SPORTIVI, CULT. SOCIALI) 2013</t>
  </si>
  <si>
    <t>N. STUDENTI CHE USUFRUISCONO DEI SERVIZI ATTIVATI (SPORTIVI, CULT. SOCIALI) 2014</t>
  </si>
  <si>
    <t>N. STUDENTI CHE USUFRUISCONO DEI SERVIZI ATTIVATI (SPORTIVI, CULT. SOCIALI) 2015</t>
  </si>
  <si>
    <r>
      <t>A3.2</t>
    </r>
    <r>
      <rPr>
        <sz val="11"/>
        <color theme="1"/>
        <rFont val="Calibri"/>
        <family val="2"/>
        <scheme val="minor"/>
      </rPr>
      <t>-Consolidare la strutturazione dei servizi generali a supporto della didattica</t>
    </r>
  </si>
  <si>
    <r>
      <t>A3.1</t>
    </r>
    <r>
      <rPr>
        <sz val="11"/>
        <color theme="1"/>
        <rFont val="Calibri"/>
        <family val="2"/>
        <scheme val="minor"/>
      </rPr>
      <t>-Rafforzare il collegamento con gli istituti di istruzione superiore</t>
    </r>
  </si>
  <si>
    <r>
      <t>B1.1</t>
    </r>
    <r>
      <rPr>
        <sz val="9"/>
        <color theme="1"/>
        <rFont val="Calibri"/>
        <family val="2"/>
        <scheme val="minor"/>
      </rPr>
      <t xml:space="preserve">-Sostenere la produttività della ricerca, in relazione ai criteri di ripartizione del FFO </t>
    </r>
  </si>
  <si>
    <t>Totale dei finanziamenti derivanti da progetti di ricerca/ totale delle entrate escluso FFO (dati di Bilancio)</t>
  </si>
  <si>
    <t>TOTALE ENTRATE ANNO 2013 ESCLUSO FFO</t>
  </si>
  <si>
    <t>TOTALE ENTRATE ANNO 2014 ESCLUSO FFO</t>
  </si>
  <si>
    <t>TOTALE ENTRATE ANNO 2015 ESCLUSO FFO</t>
  </si>
  <si>
    <t>B1.2-Promuovere la certificazione di qualità dei laboratori di ricerca e di supporto alla didattica</t>
  </si>
  <si>
    <t>TOTALE ENTRATE ANNO 2016 ESCLUSO FFO</t>
  </si>
  <si>
    <t xml:space="preserve">B2.1- Migliorare la cooperazione con imprese ed istituzioni valorizzando i risultati della ricerca </t>
  </si>
  <si>
    <t>n. di imprese ed istituzioni inseriti in attività di ricerca e sviluppo sperimentale/ totale dei progetti</t>
  </si>
  <si>
    <t>Aumentare del 3% rispetto alla media % attestata nel triennio 2013/15</t>
  </si>
  <si>
    <t>B2.2-Potenziare la capacità progettuale e la competitività nell’attrazione di risorse esterne per la ricerca e l’innovazione</t>
  </si>
  <si>
    <t>Fonti di finanziamento ottenute da progetti di ricerca/totali fonti di finanziamento-dati di bilancio</t>
  </si>
  <si>
    <t xml:space="preserve">B2.3-Sostenere la capacità di innovazione e di brevettazione dei prodotti di ricerca </t>
  </si>
  <si>
    <t>n. di brevetti nell’anno t</t>
  </si>
  <si>
    <t>n. di brevetti nell’anno 2013</t>
  </si>
  <si>
    <t>n. di brevetti nell’anno 2014</t>
  </si>
  <si>
    <t>n. di brevetti nell’anno 2015</t>
  </si>
  <si>
    <t>n. di brevetti nell’anno 2016</t>
  </si>
  <si>
    <t>B2.4-Rafforzare il monitoraggio per la razionalizzazione delle partecipazioni societarie</t>
  </si>
  <si>
    <t>n. di monitoraggi nell’anno t</t>
  </si>
  <si>
    <t>≥ 2 interventi nel triennio 2016/18</t>
  </si>
  <si>
    <t>n. di monitoraggi effettuati nell’anno 2016</t>
  </si>
  <si>
    <t>C1.1-Migliorare l’efficienza della spesa, in logica di spending review</t>
  </si>
  <si>
    <t>Spese correnti/totale spese</t>
  </si>
  <si>
    <t>Diminuire del 1% rispetto alla media % attestata nel triennio 2013/15</t>
  </si>
  <si>
    <t>importo totale spese 2013</t>
  </si>
  <si>
    <t>importo totale spese 2014</t>
  </si>
  <si>
    <t>importo totale spese 2015</t>
  </si>
  <si>
    <t>importo totale spese 2016</t>
  </si>
  <si>
    <t>C1.2-Sostenere interventi e misure per il risparmio energetico e il mantenimento di standard di consumi</t>
  </si>
  <si>
    <t>Risparmio energetico/ tot spese</t>
  </si>
  <si>
    <t>totale costo energia elettrica anno 2013</t>
  </si>
  <si>
    <t>totale costo energia elettrica anno 2014</t>
  </si>
  <si>
    <t>totale costo energia elettrica anno 2015</t>
  </si>
  <si>
    <t>totale costo energia elettrica anno 2016</t>
  </si>
  <si>
    <t>C2.1-Ottimizzare gli strumenti di Gestione Documentale e degli Archivi</t>
  </si>
  <si>
    <t>C2.2-Ottimizzare i processi e adeguare i regolamenti</t>
  </si>
  <si>
    <t>n. di regolamenti o provvedimenti adottati/n di regolamenti o provvedimenti da adottare (come da ob. operativo)</t>
  </si>
  <si>
    <t>≥ 6 regolamenti o provvedimenti nel triennio 2016/18</t>
  </si>
  <si>
    <t>C2.3-Migliorare l’attrattività, l’utilizzo e l’efficacia della comunicazione</t>
  </si>
  <si>
    <t>n. personale strutturato anno 2013</t>
  </si>
  <si>
    <t>n. personale strutturato anno 2014</t>
  </si>
  <si>
    <t>n. personale strutturato anno 2015</t>
  </si>
  <si>
    <t>n. personale strutturato anno 2016</t>
  </si>
  <si>
    <t>n. studenti anno 2013</t>
  </si>
  <si>
    <t>n. studenti anno 2014</t>
  </si>
  <si>
    <t>n. studenti anno 2015</t>
  </si>
  <si>
    <t>n. studenti anno 2016</t>
  </si>
  <si>
    <t xml:space="preserve">C2.4- Ottimizzare i sistemi informativi di Ateneo </t>
  </si>
  <si>
    <t>≥ 3 interventi nel triennio 2016/18</t>
  </si>
  <si>
    <t>n. di processi informativi realizzati nell’anno 2016 che costituiscono innovazione o ottimizzazione rispetto i preesistenti</t>
  </si>
  <si>
    <t>C3.1-Sviluppare interventi di formazione/informazione, rivolti a tutto il personale (docente, ricercatore, TA)</t>
  </si>
  <si>
    <t>n. interventi formativi -informativi realizzati/totale n. interventi previsti dal PTPC</t>
  </si>
  <si>
    <t>C3.2- Attuare misure volte a prevenire e contrastare il fenomeno della corruzione e fornire la massima informazione sulle situazioni concrete di rischio e sulla tempistica dei procedimenti</t>
  </si>
  <si>
    <t>n. misure attuate nell’anno t</t>
  </si>
  <si>
    <t>Aumentare di un numero ≥ 3 rispetto alla media attestata nel triennio 2013/15</t>
  </si>
  <si>
    <t>C3.3-Monitorare gli adempimenti relativi agli obblighi di pubblicazione derivanti dal D. Lgs   33/2013 e iniziative di comunicazione della Trasparenza</t>
  </si>
  <si>
    <t>Elaborazione Report dei dati di competenza trasmessi dai responsabili UO</t>
  </si>
  <si>
    <t>≥ 3 interventi nel triennio 2016/18 (uno per anno)</t>
  </si>
  <si>
    <t>C4.1-Migliorare il livello di valorizzazione del patrimonio</t>
  </si>
  <si>
    <t>n. attività avviate e/o realizzate nell’anno t</t>
  </si>
  <si>
    <t>C4.2-Organizzare e migliorare il sistema bibliotecario</t>
  </si>
  <si>
    <t>n. interventi per l’adeguamento ed il potenziamento del sistema bibliotecario nell’anno t</t>
  </si>
  <si>
    <t>ABBANDONI PRIMO ANNO RIFERITI AL 2016</t>
  </si>
  <si>
    <t>MCAIII</t>
  </si>
  <si>
    <t>SSCR</t>
  </si>
  <si>
    <t>SIAT</t>
  </si>
  <si>
    <t>MCAII</t>
  </si>
  <si>
    <t>SARITTILO</t>
  </si>
  <si>
    <t>N. totale fonti di finanziamento-dati di bilancio 2013</t>
  </si>
  <si>
    <t>N. totale fonti di finanziamento-dati di bilancio 2014</t>
  </si>
  <si>
    <t>N. totale fonti di finanziamento-dati di bilancio 2015</t>
  </si>
  <si>
    <t>N. totale fonti di finanziamento-dati di bilancio 2016</t>
  </si>
  <si>
    <t>EVOLI</t>
  </si>
  <si>
    <t>DATI</t>
  </si>
  <si>
    <t>SSNVI</t>
  </si>
  <si>
    <t>N. STUDENTI MOBILITA’ ENTR E USC RIFERITO AL 2013/tot studenti 2013</t>
  </si>
  <si>
    <t>N. STUDENTI MOBILITA’ ENTR E USC RIFERITO AL 2014/tot studenti 2014</t>
  </si>
  <si>
    <t>N. STUDENTI MOBILITA’ ENTR E USC RIFERITO AL 2015/tot studenti 2015</t>
  </si>
  <si>
    <t>N. STUDENTI MOBILITA’ ENTR E USC RIFERITO AL 2016/tot studenti 2016</t>
  </si>
  <si>
    <t>N. DOCENTI IN MOBILITA’ ENTR E USC RIFERITO AL 2013/tot docenti 2013</t>
  </si>
  <si>
    <t>N. DOCENTI IN MOBILITA’ ENTR E USC RIFERITO AL 2014/tot docenti 2014</t>
  </si>
  <si>
    <t>N. DOCENTI IN MOBILITA’ ENTR E USC RIFERITO AL 2015/tot docenti 2015</t>
  </si>
  <si>
    <t>N. DOCENTI IN MOBILITA’ ENTR E USC RIFERITO AL 2016/tot docenti 2016</t>
  </si>
  <si>
    <t>n. visitatori sito internet d’Ateneo ANNO 2013/personale strutturato+studenti 2013</t>
  </si>
  <si>
    <t>n. visitatori sito internet d’Ateneo ANNO 2014/personale strutturato+studenti 2014</t>
  </si>
  <si>
    <t>n. visitatori sito internet d’Ateneo ANNO 2015/personale strutturato+studenti 2015</t>
  </si>
  <si>
    <t>n. visitatori sito internet d’Ateneo ANNO 2016/personale strutturato+studenti 2016</t>
  </si>
  <si>
    <t>valore 2016 raggiunto singolo indicatore</t>
  </si>
  <si>
    <t>differenza rispetto la media del triennio %</t>
  </si>
  <si>
    <t>100/100</t>
  </si>
  <si>
    <t>differenza rispetto la media (valore)</t>
  </si>
  <si>
    <t>50/100</t>
  </si>
  <si>
    <t>n. di imprese ed istituzioni inseriti in attività di ricerca e sviluppo sperimentale 2013/tot progetti 2013</t>
  </si>
  <si>
    <t>n. di imprese ed istituzioni inseriti in attività di ricerca e sviluppo sperimentale 2014/tot progetti 2014</t>
  </si>
  <si>
    <t>n. di imprese ed istituzioni inseriti in attività di ricerca e sviluppo sperimentale 2015/tot progetti 2015</t>
  </si>
  <si>
    <t>n. di imprese ed istituzioni inseriti in attività di ricerca e sviluppo sperimentale 2016/tot progetti 2016</t>
  </si>
  <si>
    <t>DIREZIONE GENERALE</t>
  </si>
  <si>
    <t xml:space="preserve">Su 4 obiettivi operativi collegati all'obiettivo strategico  C 2.1 n. 3 sono stati raggiunti al 100% e  n.1 al 75% </t>
  </si>
  <si>
    <t>≥ 6 interventi nel triennio 2016/18</t>
  </si>
  <si>
    <t>2 interventi formativi attuati su 3 previsti</t>
  </si>
  <si>
    <t>2013/0
2014/6
2015/4
Dati estratti dalle Relazioni annuali del Responsabile per la Prevenzione della corruzione</t>
  </si>
  <si>
    <t>Obiettivo trasversale Dir.Gen./Dip.</t>
  </si>
  <si>
    <t>Dati relativi a n. 7 obiettivi operativi</t>
  </si>
  <si>
    <t>Ob operativo SSDG</t>
  </si>
  <si>
    <t>Ob. Operativo MCAI</t>
  </si>
  <si>
    <t>Settori Consorzi e Partecipate</t>
  </si>
  <si>
    <t>MCAII 4506186,88/24871772,44</t>
  </si>
  <si>
    <t>TOTALE FINANZIAMENTI DERIVANTI DA PROGETTI DI RICERCA 2013/TOTALE ENTRATE ANNO 2013 ESCLUSO FFO</t>
  </si>
  <si>
    <t>TOTALE FINANZIAMENTI DERIVANTI DA PROGETTI DI RICERCA 2014/TOTALE ENTRATE ANNO 2014 ESCLUSO FFO</t>
  </si>
  <si>
    <t>TOTALE FINANZIAMENTI DERIVANTI DA PROGETTI DI RICERCA 2015/TOTALE ENTRATE ANNO 2015 ESCLUSO FFO</t>
  </si>
  <si>
    <t>TOTALE FINANZIAMENTI DERIVANTI DA PROGETTI DI RICERCA 2016/TOTALE ENTRATE ANNO 2016 ESCLUSO FFO</t>
  </si>
  <si>
    <t>Fonti di finanziamento ottenute da progetti di ricerca 2013 (numero fonti provenienti da progetti di ricerca)/totali fonti di finanziamento-dati di bilancio 2013</t>
  </si>
  <si>
    <t>Fonti di finanziamento ottenute da progetti di ricerca 2014 (numero fonti provenienti da progetti di ricerca)/totali fonti di finanziamento-dati di bilancio 2014</t>
  </si>
  <si>
    <t>Fonti di finanziamento ottenute da progetti di ricerca 2015 (numero fonti provenienti da progetti di ricerca)/totali fonti di finanziamento-dati di bilancio 2015</t>
  </si>
  <si>
    <t>Fonti di finanziamento ottenute da progetti di ricerca 2016 (numero fonti provenienti da progetti di ricerca)/totali fonti di finanziamento-dati di bilancio 2016</t>
  </si>
  <si>
    <t xml:space="preserve">MCAII </t>
  </si>
  <si>
    <t>n. medio annuo CFU/studente(a.a.)</t>
  </si>
  <si>
    <t>NUMERO MEDIO ANNUO CFU/STUDENTE ANNI 2012/2013</t>
  </si>
  <si>
    <t>NUMERO MEDIO ANNUO CFU/STUDENTE ANNI 2013/2014</t>
  </si>
  <si>
    <t>NUMERO MEDIO ANNUO CFU/STUDENTE ANNI 2014/2015</t>
  </si>
  <si>
    <t>NUMERO MEDIO ANNUO CFU/STUDENTE ANNI 2015/2016</t>
  </si>
  <si>
    <t>MCAII (42867829,84/58964422,88)</t>
  </si>
  <si>
    <t>MCAII (23506453,48/35758230,35)</t>
  </si>
  <si>
    <t>MCAII (1085224,32/13023614,55)</t>
  </si>
  <si>
    <t>SSCR  
(435445/453+6489)</t>
  </si>
  <si>
    <t>SSCR  
(376709/446+5968)</t>
  </si>
  <si>
    <t>SSCR 
(549116/465+7340)</t>
  </si>
  <si>
    <t>SSCR
 (603508/475+8001)</t>
  </si>
  <si>
    <t>SARITTILO 
(65/55)</t>
  </si>
  <si>
    <t>SARITTILO 
(70/59)</t>
  </si>
  <si>
    <t>SARITTILO 
(80/75)</t>
  </si>
  <si>
    <t>SARITTILO 
(50/45)</t>
  </si>
  <si>
    <t>MCAII 
(3/6)</t>
  </si>
  <si>
    <t>valore 2017 raggiunto singolo indicatore</t>
  </si>
  <si>
    <t>ABBANDONI PRIMO ANNO RIFERITI AL 2017</t>
  </si>
  <si>
    <t>LAUREATI IN CORSO ANNO 2017</t>
  </si>
  <si>
    <t>NUMERO MEDIO ANNUO CFU/STUDENTE ANNI 2016/2017</t>
  </si>
  <si>
    <t>media triennio 13/15</t>
  </si>
  <si>
    <t>peso singolo indicatore</t>
  </si>
  <si>
    <t>40/100</t>
  </si>
  <si>
    <t>20/100</t>
  </si>
  <si>
    <t>N. STUDENTI MOBILITA’ ENTR E USC RIFERITO AL 2017/tot studenti 2017</t>
  </si>
  <si>
    <t>N. DOCENTI IN MOBILITA’ ENTR E USC RIFERITO AL 2017/tot docenti 2017</t>
  </si>
  <si>
    <t>60/100</t>
  </si>
  <si>
    <t>N. INIZIATIVE ORIENTAMENTO IN INGRESSO 2017</t>
  </si>
  <si>
    <t>N. SERVIZI ATTIVATI A SUPPORTO DIDATTICA 2017</t>
  </si>
  <si>
    <t>N. SERVIZI ON LINE ATTIVATI A SUPPORTO DIDATTICA 2017</t>
  </si>
  <si>
    <t>N. SERVIZI ATTIVATI (SPORTIVI, CULT. SOCIALI) OFFERTI AGLI STUDENTI 2017</t>
  </si>
  <si>
    <t>TOTALE FINANZIAMENTI DERIVANTI DA PROGETTI DI RICERCA 2017/TOTALE ENTRATE ANNO 2017 ESCLUSO FFO</t>
  </si>
  <si>
    <t>A3.4-Accreditare a livello regionale le sedi dei Dipartimenti per la progettazione, erogazione e gestione di sistemi informativi</t>
  </si>
  <si>
    <t>N di sedi accreditate/N sedi dipartimenti</t>
  </si>
  <si>
    <t>6/6 nel triennio 2016/2018</t>
  </si>
  <si>
    <t>sedi accreditate anno 2016</t>
  </si>
  <si>
    <t>sedi accreditate anno 2017</t>
  </si>
  <si>
    <t>N di laboratori accreditati con certificazione di qualità/tot dei laboratori</t>
  </si>
  <si>
    <t>N di laboratori accreditati con certificazione di qualità 2013</t>
  </si>
  <si>
    <t>N di laboratori accreditati con certificazione di qualità 2014</t>
  </si>
  <si>
    <t>N di laboratori accreditati con certificazione di qualità 2015</t>
  </si>
  <si>
    <t>N di laboratori accreditati con certificazione di qualità 2017</t>
  </si>
  <si>
    <t xml:space="preserve">SARITTILO 
</t>
  </si>
  <si>
    <t>n. di imprese ed istituzioni inseriti in attività di ricerca e sviluppo sperimentale 2017/tot progetti 2017</t>
  </si>
  <si>
    <t>N. totale fonti di finanziamento-dati di bilancio 2017</t>
  </si>
  <si>
    <t>Fonti di finanziamento ottenute da progetti di ricerca 2017 (numero fonti provenienti da progetti di ricerca)/totali fonti di finanziamento-dati di bilancio 2017</t>
  </si>
  <si>
    <t>n. di brevetti nell’anno 2017</t>
  </si>
  <si>
    <t>n. di monitoraggi effettuati nell’anno 2017</t>
  </si>
  <si>
    <t>importo totale spese 2017</t>
  </si>
  <si>
    <t>totale costo energia elettrica anno 2017</t>
  </si>
  <si>
    <t>≥ 6 iniziativei nel triennio 2016/18</t>
  </si>
  <si>
    <t>DATI DA ESTRARRE DALLA RENDICONTAZIONE 2016</t>
  </si>
  <si>
    <t>DATI DA ESTRARRE DALLA RENDICONTAZIONE 2017</t>
  </si>
  <si>
    <t>n. visitatori sito internet/facebook/twitter/google+ d’Ateneo/personale strutturato più studenti</t>
  </si>
  <si>
    <t>n. personale strutturato anno 2017</t>
  </si>
  <si>
    <t>n. studenti anno 2017</t>
  </si>
  <si>
    <t>n. di processi informativi realizzati nell’anno t che costituiscono innovazione o ottimizzazione rispetto i preesistenti inclusa attivazione nuova piattaforma</t>
  </si>
  <si>
    <t>n. di processi informativi realizzati nell’anno 2017 che costituiscono innovazione o ottimizzazione rispetto i preesistenti</t>
  </si>
  <si>
    <t>TOTALE ENTRATE ANNO 2017 ESCLUSO FFO</t>
  </si>
  <si>
    <t>MCAII
(2340726,05/24148047,98)</t>
  </si>
  <si>
    <t>MCAII
(4/4)</t>
  </si>
  <si>
    <t>SSCR 
 (109/8001)</t>
  </si>
  <si>
    <t>SSCR 
 (122/7340)</t>
  </si>
  <si>
    <t>SSCR 
(126/6489)</t>
  </si>
  <si>
    <t>SSCR
 (142/5968)</t>
  </si>
  <si>
    <t>SARI
(154/5376)</t>
  </si>
  <si>
    <t>SSCR
(7/269)</t>
  </si>
  <si>
    <t>SSCR 
(13/234)</t>
  </si>
  <si>
    <t>SSCR
 (10/259)</t>
  </si>
  <si>
    <t>SSCR 
(18/252)</t>
  </si>
  <si>
    <t>SARI
(14/261)</t>
  </si>
  <si>
    <t>109 - Nel calcolo sono considerati quelli rendicontati Speranza 98 + ling+infopoint+3 test accesso+siat 3+cont lab+corsi preparatoti ai test 1+</t>
  </si>
  <si>
    <t>3 servizi on line SIAT Streaming di lezioni - serizio Webinar e piattaforma FAD per 24 CFU</t>
  </si>
  <si>
    <t>Su 6 obiettivi operativi collegati all'obiettivo strategico  C 2.1 n. 6 sono stati raggiunti al 100%</t>
  </si>
  <si>
    <t>3 adempimenti effettuati nel 2016</t>
  </si>
  <si>
    <t>n. 6 iniziative effettuate nel 2017</t>
  </si>
  <si>
    <t>n. visitatori sito internet t/facebook/twitter/google+ d’Ateneo ANNO 2017/personale strutturato+studenti 2017</t>
  </si>
  <si>
    <t>SSCR
(1079196/454+5376)</t>
  </si>
  <si>
    <t>target triennale</t>
  </si>
  <si>
    <t>vedi relazione Taverriti</t>
  </si>
  <si>
    <t>4 obiettivi collegati raggiunti al 100%</t>
  </si>
  <si>
    <t>2 ob SAT</t>
  </si>
  <si>
    <t>Dati relativi a n. 3 obiettivi operativi</t>
  </si>
  <si>
    <t>importo totale spese correnti anno 2013/importo totale spese 2013</t>
  </si>
  <si>
    <t>importo totale spese correnti anno 2014/importo totale spese 2014</t>
  </si>
  <si>
    <t>importo totale spese correnti anno 2015/importo totale spese 2015</t>
  </si>
  <si>
    <t>importo totale spese correnti anno 2016/importo totale spese 2016</t>
  </si>
  <si>
    <t>importo totale spese correnti anno 2017/importo totale spese 2017</t>
  </si>
  <si>
    <t>valore raggiunto target triennale nei primi due anni</t>
  </si>
  <si>
    <t>valore 2018 raggiunto singolo indicatore</t>
  </si>
  <si>
    <t>UNITA' ORGANIZZATIVA  COMPETENTEA TRASMETTERE I DATI PER IL CALCOLO DEI RISULTATI</t>
  </si>
  <si>
    <t>N. STUDENTI CHE USUFRUISCONO DEI SERVIZI ATTIVATI (SPORTIVI, CULT. SOCIALI) 2016 (100/4)</t>
  </si>
  <si>
    <t>N. STUDENTI CHE USUFRUISCONO DEI SERVIZI ATTIVATI (SPORTIVI, CULT. SOCIALI) 2017 (200/4)</t>
  </si>
  <si>
    <t>valore raggiunto indicatore Ob strategico nei due anni</t>
  </si>
  <si>
    <t>valore raggiunto obiettivo strategico al 31.12.2017</t>
  </si>
  <si>
    <t>vedi relazione resp. SAT</t>
  </si>
  <si>
    <t xml:space="preserve">n. iniziative effettuate/n. iniziative da effettuare </t>
  </si>
  <si>
    <t>SARITTILO
45/4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</si>
</sst>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_€"/>
    <numFmt numFmtId="165" formatCode="#,##0.000"/>
    <numFmt numFmtId="166" formatCode="#,##0.0000"/>
    <numFmt numFmtId="167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5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2" fontId="0" fillId="0" borderId="0" xfId="0" applyNumberFormat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4" fontId="0" fillId="0" borderId="1" xfId="0" applyNumberFormat="1" applyBorder="1"/>
    <xf numFmtId="4" fontId="0" fillId="0" borderId="6" xfId="0" applyNumberForma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6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2" fontId="0" fillId="0" borderId="1" xfId="0" applyNumberFormat="1" applyFill="1" applyBorder="1"/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4" xfId="0" applyFill="1" applyBorder="1" applyAlignment="1">
      <alignment wrapText="1"/>
    </xf>
    <xf numFmtId="4" fontId="0" fillId="0" borderId="16" xfId="0" applyNumberFormat="1" applyBorder="1" applyAlignment="1">
      <alignment vertical="center"/>
    </xf>
    <xf numFmtId="4" fontId="0" fillId="0" borderId="16" xfId="0" applyNumberFormat="1" applyBorder="1" applyAlignment="1"/>
    <xf numFmtId="164" fontId="0" fillId="0" borderId="3" xfId="0" applyNumberFormat="1" applyFill="1" applyBorder="1"/>
    <xf numFmtId="164" fontId="0" fillId="0" borderId="1" xfId="0" applyNumberFormat="1" applyFill="1" applyBorder="1"/>
    <xf numFmtId="4" fontId="0" fillId="0" borderId="8" xfId="0" applyNumberFormat="1" applyBorder="1" applyAlignment="1">
      <alignment vertical="center"/>
    </xf>
    <xf numFmtId="4" fontId="0" fillId="0" borderId="8" xfId="0" applyNumberFormat="1" applyBorder="1" applyAlignment="1"/>
    <xf numFmtId="0" fontId="0" fillId="2" borderId="19" xfId="0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164" fontId="0" fillId="0" borderId="1" xfId="0" applyNumberFormat="1" applyFill="1" applyBorder="1" applyAlignment="1">
      <alignment horizontal="right"/>
    </xf>
    <xf numFmtId="0" fontId="2" fillId="0" borderId="15" xfId="0" applyFont="1" applyFill="1" applyBorder="1" applyAlignment="1">
      <alignment wrapText="1"/>
    </xf>
    <xf numFmtId="2" fontId="0" fillId="0" borderId="15" xfId="0" applyNumberFormat="1" applyFill="1" applyBorder="1"/>
    <xf numFmtId="4" fontId="0" fillId="0" borderId="20" xfId="0" applyNumberFormat="1" applyBorder="1"/>
    <xf numFmtId="4" fontId="0" fillId="0" borderId="1" xfId="0" applyNumberFormat="1" applyFill="1" applyBorder="1"/>
    <xf numFmtId="0" fontId="0" fillId="2" borderId="18" xfId="0" applyFill="1" applyBorder="1" applyAlignment="1">
      <alignment wrapText="1"/>
    </xf>
    <xf numFmtId="0" fontId="0" fillId="0" borderId="20" xfId="0" applyBorder="1" applyAlignment="1">
      <alignment wrapText="1"/>
    </xf>
    <xf numFmtId="0" fontId="2" fillId="0" borderId="20" xfId="0" applyFont="1" applyFill="1" applyBorder="1" applyAlignment="1">
      <alignment wrapText="1"/>
    </xf>
    <xf numFmtId="0" fontId="0" fillId="0" borderId="20" xfId="0" applyFill="1" applyBorder="1" applyAlignment="1">
      <alignment horizontal="center" vertical="center"/>
    </xf>
    <xf numFmtId="164" fontId="0" fillId="0" borderId="20" xfId="0" applyNumberForma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0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5" xfId="0" applyFont="1" applyBorder="1"/>
    <xf numFmtId="0" fontId="0" fillId="0" borderId="1" xfId="0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6" xfId="0" applyFont="1" applyBorder="1"/>
    <xf numFmtId="0" fontId="1" fillId="0" borderId="24" xfId="0" applyFont="1" applyBorder="1"/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164" fontId="0" fillId="0" borderId="15" xfId="0" applyNumberFormat="1" applyFill="1" applyBorder="1" applyAlignment="1">
      <alignment horizontal="right"/>
    </xf>
    <xf numFmtId="4" fontId="0" fillId="0" borderId="8" xfId="0" applyNumberFormat="1" applyFill="1" applyBorder="1" applyAlignment="1">
      <alignment vertical="center"/>
    </xf>
    <xf numFmtId="4" fontId="0" fillId="0" borderId="16" xfId="0" applyNumberFormat="1" applyFill="1" applyBorder="1" applyAlignment="1">
      <alignment vertical="center"/>
    </xf>
    <xf numFmtId="0" fontId="2" fillId="0" borderId="15" xfId="0" applyFont="1" applyFill="1" applyBorder="1" applyAlignment="1">
      <alignment horizontal="left" vertical="center" wrapText="1"/>
    </xf>
    <xf numFmtId="2" fontId="0" fillId="0" borderId="27" xfId="0" applyNumberFormat="1" applyFill="1" applyBorder="1"/>
    <xf numFmtId="0" fontId="2" fillId="0" borderId="27" xfId="0" applyFont="1" applyFill="1" applyBorder="1" applyAlignment="1">
      <alignment wrapText="1"/>
    </xf>
    <xf numFmtId="0" fontId="0" fillId="0" borderId="24" xfId="0" applyFill="1" applyBorder="1" applyAlignment="1">
      <alignment horizontal="center" vertical="center" wrapText="1"/>
    </xf>
    <xf numFmtId="4" fontId="0" fillId="0" borderId="16" xfId="0" applyNumberFormat="1" applyBorder="1"/>
    <xf numFmtId="2" fontId="0" fillId="0" borderId="20" xfId="0" applyNumberFormat="1" applyFill="1" applyBorder="1"/>
    <xf numFmtId="4" fontId="0" fillId="0" borderId="15" xfId="0" applyNumberFormat="1" applyBorder="1"/>
    <xf numFmtId="0" fontId="1" fillId="0" borderId="15" xfId="0" applyFont="1" applyBorder="1"/>
    <xf numFmtId="0" fontId="1" fillId="0" borderId="25" xfId="0" applyFont="1" applyBorder="1"/>
    <xf numFmtId="0" fontId="1" fillId="0" borderId="17" xfId="0" applyFont="1" applyBorder="1"/>
    <xf numFmtId="4" fontId="0" fillId="0" borderId="15" xfId="0" applyNumberFormat="1" applyFill="1" applyBorder="1"/>
    <xf numFmtId="0" fontId="0" fillId="0" borderId="15" xfId="0" applyBorder="1" applyAlignment="1">
      <alignment wrapText="1"/>
    </xf>
    <xf numFmtId="164" fontId="0" fillId="0" borderId="15" xfId="0" applyNumberFormat="1" applyFill="1" applyBorder="1"/>
    <xf numFmtId="0" fontId="0" fillId="2" borderId="19" xfId="0" applyFill="1" applyBorder="1" applyAlignment="1">
      <alignment wrapText="1"/>
    </xf>
    <xf numFmtId="0" fontId="0" fillId="0" borderId="15" xfId="0" applyBorder="1"/>
    <xf numFmtId="0" fontId="0" fillId="0" borderId="6" xfId="0" applyFill="1" applyBorder="1"/>
    <xf numFmtId="167" fontId="0" fillId="0" borderId="1" xfId="0" applyNumberFormat="1" applyBorder="1"/>
    <xf numFmtId="167" fontId="0" fillId="0" borderId="1" xfId="0" applyNumberFormat="1" applyFill="1" applyBorder="1"/>
    <xf numFmtId="4" fontId="0" fillId="0" borderId="1" xfId="0" applyNumberFormat="1" applyBorder="1" applyAlignment="1">
      <alignment horizontal="center" vertical="center"/>
    </xf>
    <xf numFmtId="0" fontId="0" fillId="0" borderId="16" xfId="0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4" fontId="0" fillId="0" borderId="1" xfId="0" applyNumberFormat="1" applyFill="1" applyBorder="1" applyAlignment="1">
      <alignment horizontal="right"/>
    </xf>
    <xf numFmtId="4" fontId="0" fillId="0" borderId="15" xfId="0" applyNumberFormat="1" applyFill="1" applyBorder="1" applyAlignment="1">
      <alignment horizontal="right"/>
    </xf>
    <xf numFmtId="0" fontId="0" fillId="0" borderId="12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4" fontId="0" fillId="0" borderId="30" xfId="0" applyNumberFormat="1" applyBorder="1"/>
    <xf numFmtId="4" fontId="0" fillId="0" borderId="32" xfId="0" applyNumberFormat="1" applyBorder="1"/>
    <xf numFmtId="4" fontId="0" fillId="0" borderId="20" xfId="0" applyNumberFormat="1" applyFill="1" applyBorder="1"/>
    <xf numFmtId="0" fontId="0" fillId="0" borderId="0" xfId="0" applyFill="1"/>
    <xf numFmtId="4" fontId="0" fillId="5" borderId="8" xfId="0" applyNumberFormat="1" applyFill="1" applyBorder="1" applyAlignment="1">
      <alignment vertical="center"/>
    </xf>
    <xf numFmtId="4" fontId="0" fillId="5" borderId="16" xfId="0" applyNumberFormat="1" applyFill="1" applyBorder="1" applyAlignment="1">
      <alignment vertical="center"/>
    </xf>
    <xf numFmtId="4" fontId="0" fillId="5" borderId="20" xfId="0" applyNumberFormat="1" applyFill="1" applyBorder="1"/>
    <xf numFmtId="4" fontId="0" fillId="5" borderId="1" xfId="0" applyNumberFormat="1" applyFill="1" applyBorder="1"/>
    <xf numFmtId="4" fontId="0" fillId="5" borderId="15" xfId="0" applyNumberFormat="1" applyFill="1" applyBorder="1"/>
    <xf numFmtId="0" fontId="0" fillId="5" borderId="0" xfId="0" applyFill="1"/>
    <xf numFmtId="2" fontId="3" fillId="5" borderId="8" xfId="0" applyNumberFormat="1" applyFont="1" applyFill="1" applyBorder="1" applyAlignment="1">
      <alignment horizontal="center" vertical="center" wrapText="1"/>
    </xf>
    <xf numFmtId="4" fontId="0" fillId="5" borderId="8" xfId="0" applyNumberFormat="1" applyFill="1" applyBorder="1" applyAlignment="1"/>
    <xf numFmtId="4" fontId="0" fillId="5" borderId="16" xfId="0" applyNumberFormat="1" applyFill="1" applyBorder="1" applyAlignment="1"/>
    <xf numFmtId="2" fontId="0" fillId="5" borderId="0" xfId="0" applyNumberFormat="1" applyFill="1"/>
    <xf numFmtId="0" fontId="0" fillId="0" borderId="30" xfId="0" applyFill="1" applyBorder="1" applyAlignment="1">
      <alignment horizontal="left" vertical="center" wrapText="1"/>
    </xf>
    <xf numFmtId="0" fontId="0" fillId="0" borderId="30" xfId="0" applyFill="1" applyBorder="1" applyAlignment="1">
      <alignment horizontal="center" vertical="center"/>
    </xf>
    <xf numFmtId="0" fontId="0" fillId="0" borderId="32" xfId="0" applyFill="1" applyBorder="1" applyAlignment="1">
      <alignment vertical="center"/>
    </xf>
    <xf numFmtId="0" fontId="0" fillId="0" borderId="32" xfId="0" applyFill="1" applyBorder="1" applyAlignment="1">
      <alignment horizontal="center" vertical="center"/>
    </xf>
    <xf numFmtId="0" fontId="0" fillId="0" borderId="32" xfId="0" applyFill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4" fontId="0" fillId="0" borderId="30" xfId="0" applyNumberFormat="1" applyBorder="1" applyAlignment="1">
      <alignment horizontal="center" vertical="center"/>
    </xf>
    <xf numFmtId="0" fontId="0" fillId="0" borderId="32" xfId="0" applyFill="1" applyBorder="1" applyAlignment="1">
      <alignment horizontal="left" vertical="center" wrapText="1"/>
    </xf>
    <xf numFmtId="4" fontId="0" fillId="0" borderId="32" xfId="0" applyNumberFormat="1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2" fillId="0" borderId="30" xfId="0" applyFont="1" applyBorder="1" applyAlignment="1">
      <alignment horizontal="left" vertical="center" wrapText="1"/>
    </xf>
    <xf numFmtId="0" fontId="0" fillId="0" borderId="30" xfId="0" applyBorder="1" applyAlignment="1">
      <alignment vertical="center"/>
    </xf>
    <xf numFmtId="0" fontId="2" fillId="0" borderId="32" xfId="0" applyFont="1" applyBorder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2" fillId="0" borderId="33" xfId="0" applyFont="1" applyFill="1" applyBorder="1" applyAlignment="1">
      <alignment horizontal="left" vertical="center" wrapText="1"/>
    </xf>
    <xf numFmtId="0" fontId="0" fillId="0" borderId="33" xfId="0" applyFill="1" applyBorder="1" applyAlignment="1">
      <alignment horizontal="center" vertical="center" wrapText="1"/>
    </xf>
    <xf numFmtId="4" fontId="0" fillId="0" borderId="33" xfId="0" applyNumberFormat="1" applyBorder="1"/>
    <xf numFmtId="0" fontId="0" fillId="0" borderId="31" xfId="0" applyFill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Fill="1" applyBorder="1"/>
    <xf numFmtId="4" fontId="0" fillId="5" borderId="32" xfId="0" applyNumberFormat="1" applyFill="1" applyBorder="1"/>
    <xf numFmtId="4" fontId="0" fillId="0" borderId="32" xfId="0" applyNumberFormat="1" applyFill="1" applyBorder="1"/>
    <xf numFmtId="0" fontId="1" fillId="0" borderId="32" xfId="0" applyFont="1" applyBorder="1"/>
    <xf numFmtId="0" fontId="1" fillId="0" borderId="34" xfId="0" applyFont="1" applyBorder="1"/>
    <xf numFmtId="0" fontId="0" fillId="0" borderId="30" xfId="0" applyBorder="1"/>
    <xf numFmtId="0" fontId="0" fillId="2" borderId="21" xfId="0" applyFill="1" applyBorder="1" applyAlignment="1">
      <alignment wrapText="1"/>
    </xf>
    <xf numFmtId="0" fontId="0" fillId="0" borderId="33" xfId="0" applyFill="1" applyBorder="1" applyAlignment="1">
      <alignment horizontal="center" vertical="center"/>
    </xf>
    <xf numFmtId="164" fontId="0" fillId="0" borderId="33" xfId="0" applyNumberFormat="1" applyFill="1" applyBorder="1"/>
    <xf numFmtId="0" fontId="2" fillId="0" borderId="32" xfId="0" applyFont="1" applyFill="1" applyBorder="1" applyAlignment="1">
      <alignment horizontal="left" vertical="center" wrapText="1"/>
    </xf>
    <xf numFmtId="164" fontId="0" fillId="0" borderId="32" xfId="0" applyNumberFormat="1" applyFill="1" applyBorder="1"/>
    <xf numFmtId="0" fontId="2" fillId="0" borderId="33" xfId="0" applyFont="1" applyFill="1" applyBorder="1" applyAlignment="1">
      <alignment wrapText="1"/>
    </xf>
    <xf numFmtId="4" fontId="0" fillId="0" borderId="33" xfId="0" applyNumberFormat="1" applyFill="1" applyBorder="1" applyAlignment="1">
      <alignment horizontal="right"/>
    </xf>
    <xf numFmtId="0" fontId="2" fillId="0" borderId="32" xfId="0" applyFont="1" applyFill="1" applyBorder="1" applyAlignment="1">
      <alignment wrapText="1"/>
    </xf>
    <xf numFmtId="4" fontId="0" fillId="0" borderId="32" xfId="0" applyNumberFormat="1" applyFill="1" applyBorder="1" applyAlignment="1">
      <alignment horizontal="right"/>
    </xf>
    <xf numFmtId="0" fontId="2" fillId="0" borderId="30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2" fillId="0" borderId="16" xfId="0" applyFont="1" applyFill="1" applyBorder="1" applyAlignment="1">
      <alignment wrapText="1"/>
    </xf>
    <xf numFmtId="0" fontId="0" fillId="0" borderId="16" xfId="0" applyFill="1" applyBorder="1" applyAlignment="1">
      <alignment horizontal="center" vertical="center"/>
    </xf>
    <xf numFmtId="2" fontId="0" fillId="0" borderId="16" xfId="0" applyNumberFormat="1" applyFill="1" applyBorder="1"/>
    <xf numFmtId="4" fontId="0" fillId="5" borderId="16" xfId="0" applyNumberFormat="1" applyFill="1" applyBorder="1"/>
    <xf numFmtId="4" fontId="0" fillId="0" borderId="16" xfId="0" applyNumberFormat="1" applyFill="1" applyBorder="1"/>
    <xf numFmtId="0" fontId="1" fillId="0" borderId="16" xfId="0" applyFont="1" applyBorder="1"/>
    <xf numFmtId="0" fontId="1" fillId="0" borderId="23" xfId="0" applyFont="1" applyBorder="1"/>
    <xf numFmtId="0" fontId="1" fillId="0" borderId="14" xfId="0" applyFont="1" applyBorder="1"/>
    <xf numFmtId="0" fontId="0" fillId="0" borderId="33" xfId="0" applyFill="1" applyBorder="1"/>
    <xf numFmtId="2" fontId="0" fillId="0" borderId="33" xfId="0" applyNumberFormat="1" applyFill="1" applyBorder="1"/>
    <xf numFmtId="0" fontId="0" fillId="0" borderId="32" xfId="0" applyFill="1" applyBorder="1" applyAlignment="1">
      <alignment horizontal="center" vertical="center" wrapText="1"/>
    </xf>
    <xf numFmtId="2" fontId="0" fillId="0" borderId="32" xfId="0" applyNumberFormat="1" applyFill="1" applyBorder="1"/>
    <xf numFmtId="0" fontId="0" fillId="0" borderId="31" xfId="0" applyFill="1" applyBorder="1" applyAlignment="1">
      <alignment horizontal="center" vertical="center" wrapText="1"/>
    </xf>
    <xf numFmtId="4" fontId="0" fillId="0" borderId="31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/>
    </xf>
    <xf numFmtId="0" fontId="2" fillId="0" borderId="36" xfId="0" applyFont="1" applyFill="1" applyBorder="1" applyAlignment="1">
      <alignment wrapText="1"/>
    </xf>
    <xf numFmtId="0" fontId="0" fillId="0" borderId="37" xfId="0" applyFill="1" applyBorder="1" applyAlignment="1">
      <alignment horizontal="center" vertical="center" wrapText="1"/>
    </xf>
    <xf numFmtId="2" fontId="0" fillId="0" borderId="36" xfId="0" applyNumberFormat="1" applyFill="1" applyBorder="1"/>
    <xf numFmtId="0" fontId="2" fillId="0" borderId="39" xfId="0" applyFont="1" applyFill="1" applyBorder="1" applyAlignment="1">
      <alignment wrapText="1"/>
    </xf>
    <xf numFmtId="0" fontId="0" fillId="0" borderId="34" xfId="0" applyFill="1" applyBorder="1" applyAlignment="1">
      <alignment horizontal="center" vertical="center" wrapText="1"/>
    </xf>
    <xf numFmtId="2" fontId="0" fillId="0" borderId="39" xfId="0" applyNumberFormat="1" applyFill="1" applyBorder="1"/>
    <xf numFmtId="164" fontId="0" fillId="0" borderId="33" xfId="0" applyNumberFormat="1" applyFill="1" applyBorder="1" applyAlignment="1">
      <alignment horizontal="right"/>
    </xf>
    <xf numFmtId="164" fontId="0" fillId="0" borderId="32" xfId="0" applyNumberFormat="1" applyFill="1" applyBorder="1" applyAlignment="1">
      <alignment horizontal="right"/>
    </xf>
    <xf numFmtId="0" fontId="2" fillId="0" borderId="30" xfId="0" applyFont="1" applyFill="1" applyBorder="1" applyAlignment="1">
      <alignment wrapText="1"/>
    </xf>
    <xf numFmtId="0" fontId="0" fillId="0" borderId="30" xfId="0" applyFill="1" applyBorder="1"/>
    <xf numFmtId="0" fontId="0" fillId="0" borderId="32" xfId="0" applyBorder="1" applyAlignment="1">
      <alignment vertical="center" wrapText="1"/>
    </xf>
    <xf numFmtId="4" fontId="0" fillId="0" borderId="31" xfId="0" applyNumberFormat="1" applyBorder="1" applyAlignment="1">
      <alignment vertical="center"/>
    </xf>
    <xf numFmtId="4" fontId="0" fillId="5" borderId="31" xfId="0" applyNumberFormat="1" applyFill="1" applyBorder="1" applyAlignment="1">
      <alignment vertical="center"/>
    </xf>
    <xf numFmtId="4" fontId="0" fillId="0" borderId="31" xfId="0" applyNumberFormat="1" applyFill="1" applyBorder="1" applyAlignment="1">
      <alignment vertical="center"/>
    </xf>
    <xf numFmtId="4" fontId="0" fillId="0" borderId="31" xfId="0" applyNumberFormat="1" applyBorder="1" applyAlignment="1"/>
    <xf numFmtId="4" fontId="0" fillId="5" borderId="31" xfId="0" applyNumberFormat="1" applyFill="1" applyBorder="1" applyAlignment="1"/>
    <xf numFmtId="0" fontId="1" fillId="0" borderId="31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2" fillId="0" borderId="33" xfId="0" applyFont="1" applyFill="1" applyBorder="1"/>
    <xf numFmtId="0" fontId="2" fillId="0" borderId="33" xfId="0" applyFont="1" applyBorder="1"/>
    <xf numFmtId="0" fontId="2" fillId="0" borderId="32" xfId="0" applyFont="1" applyBorder="1"/>
    <xf numFmtId="0" fontId="2" fillId="0" borderId="3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167" fontId="0" fillId="0" borderId="33" xfId="0" applyNumberFormat="1" applyBorder="1"/>
    <xf numFmtId="0" fontId="0" fillId="0" borderId="32" xfId="0" applyBorder="1" applyAlignment="1">
      <alignment horizontal="center" vertical="center" wrapText="1"/>
    </xf>
    <xf numFmtId="167" fontId="0" fillId="0" borderId="32" xfId="0" applyNumberFormat="1" applyFill="1" applyBorder="1"/>
    <xf numFmtId="0" fontId="0" fillId="0" borderId="33" xfId="0" applyBorder="1" applyAlignment="1">
      <alignment horizontal="center" vertical="center"/>
    </xf>
    <xf numFmtId="0" fontId="0" fillId="0" borderId="33" xfId="0" applyBorder="1"/>
    <xf numFmtId="0" fontId="0" fillId="0" borderId="32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2" fontId="3" fillId="0" borderId="9" xfId="0" applyNumberFormat="1" applyFont="1" applyFill="1" applyBorder="1" applyAlignment="1">
      <alignment horizontal="center" vertical="center" wrapText="1"/>
    </xf>
    <xf numFmtId="0" fontId="0" fillId="2" borderId="43" xfId="0" applyFill="1" applyBorder="1" applyAlignment="1">
      <alignment vertical="center" wrapText="1"/>
    </xf>
    <xf numFmtId="0" fontId="1" fillId="0" borderId="48" xfId="0" applyFont="1" applyBorder="1" applyAlignment="1">
      <alignment vertical="center"/>
    </xf>
    <xf numFmtId="0" fontId="1" fillId="0" borderId="44" xfId="0" applyFont="1" applyBorder="1"/>
    <xf numFmtId="0" fontId="0" fillId="0" borderId="12" xfId="0" applyFill="1" applyBorder="1" applyAlignment="1">
      <alignment horizontal="left" vertical="center" wrapText="1"/>
    </xf>
    <xf numFmtId="2" fontId="0" fillId="0" borderId="31" xfId="0" applyNumberFormat="1" applyFill="1" applyBorder="1"/>
    <xf numFmtId="0" fontId="3" fillId="5" borderId="8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0" fillId="2" borderId="45" xfId="0" applyFill="1" applyBorder="1" applyAlignment="1">
      <alignment horizontal="center" wrapText="1"/>
    </xf>
    <xf numFmtId="0" fontId="0" fillId="2" borderId="47" xfId="0" applyFill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2" fontId="1" fillId="3" borderId="46" xfId="0" applyNumberFormat="1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30" xfId="0" applyNumberFormat="1" applyFill="1" applyBorder="1" applyAlignment="1">
      <alignment horizontal="center" vertical="center"/>
    </xf>
    <xf numFmtId="0" fontId="0" fillId="0" borderId="31" xfId="0" applyNumberFormat="1" applyFill="1" applyBorder="1" applyAlignment="1">
      <alignment horizontal="center" vertical="center"/>
    </xf>
    <xf numFmtId="0" fontId="0" fillId="0" borderId="12" xfId="0" applyNumberForma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4" fontId="0" fillId="0" borderId="30" xfId="0" applyNumberFormat="1" applyFill="1" applyBorder="1" applyAlignment="1">
      <alignment horizontal="center" vertical="center" wrapText="1"/>
    </xf>
    <xf numFmtId="4" fontId="0" fillId="0" borderId="31" xfId="0" applyNumberFormat="1" applyFill="1" applyBorder="1" applyAlignment="1">
      <alignment horizontal="center" vertical="center" wrapText="1"/>
    </xf>
    <xf numFmtId="4" fontId="0" fillId="0" borderId="30" xfId="0" applyNumberFormat="1" applyFill="1" applyBorder="1" applyAlignment="1">
      <alignment horizontal="center" vertical="center"/>
    </xf>
    <xf numFmtId="4" fontId="0" fillId="0" borderId="31" xfId="0" applyNumberFormat="1" applyFill="1" applyBorder="1" applyAlignment="1">
      <alignment horizontal="center" vertical="center"/>
    </xf>
    <xf numFmtId="4" fontId="0" fillId="5" borderId="30" xfId="0" applyNumberFormat="1" applyFill="1" applyBorder="1" applyAlignment="1">
      <alignment horizontal="center" vertical="center"/>
    </xf>
    <xf numFmtId="4" fontId="0" fillId="5" borderId="31" xfId="0" applyNumberFormat="1" applyFill="1" applyBorder="1" applyAlignment="1">
      <alignment horizontal="center" vertical="center"/>
    </xf>
    <xf numFmtId="2" fontId="1" fillId="0" borderId="30" xfId="0" applyNumberFormat="1" applyFont="1" applyBorder="1" applyAlignment="1">
      <alignment horizontal="center" vertical="center"/>
    </xf>
    <xf numFmtId="2" fontId="1" fillId="0" borderId="31" xfId="0" applyNumberFormat="1" applyFont="1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4" fontId="0" fillId="0" borderId="16" xfId="0" applyNumberFormat="1" applyFill="1" applyBorder="1" applyAlignment="1">
      <alignment horizontal="center" vertical="center"/>
    </xf>
    <xf numFmtId="4" fontId="0" fillId="0" borderId="20" xfId="0" applyNumberFormat="1" applyFill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3" fontId="0" fillId="0" borderId="30" xfId="0" applyNumberFormat="1" applyFill="1" applyBorder="1" applyAlignment="1">
      <alignment horizontal="center" vertical="center"/>
    </xf>
    <xf numFmtId="3" fontId="0" fillId="0" borderId="31" xfId="0" applyNumberForma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3" fontId="0" fillId="0" borderId="30" xfId="0" applyNumberFormat="1" applyBorder="1" applyAlignment="1">
      <alignment horizontal="center" vertical="center"/>
    </xf>
    <xf numFmtId="3" fontId="0" fillId="0" borderId="31" xfId="0" applyNumberFormat="1" applyBorder="1" applyAlignment="1">
      <alignment horizontal="center" vertical="center"/>
    </xf>
    <xf numFmtId="3" fontId="0" fillId="0" borderId="30" xfId="0" applyNumberFormat="1" applyFill="1" applyBorder="1" applyAlignment="1">
      <alignment horizontal="center" vertical="center" wrapText="1"/>
    </xf>
    <xf numFmtId="3" fontId="0" fillId="0" borderId="31" xfId="0" applyNumberFormat="1" applyFill="1" applyBorder="1" applyAlignment="1">
      <alignment horizontal="center" vertical="center" wrapText="1"/>
    </xf>
    <xf numFmtId="4" fontId="0" fillId="0" borderId="30" xfId="0" applyNumberFormat="1" applyBorder="1" applyAlignment="1">
      <alignment horizontal="center"/>
    </xf>
    <xf numFmtId="4" fontId="0" fillId="0" borderId="31" xfId="0" applyNumberFormat="1" applyBorder="1" applyAlignment="1">
      <alignment horizontal="center"/>
    </xf>
    <xf numFmtId="3" fontId="0" fillId="5" borderId="30" xfId="0" applyNumberFormat="1" applyFill="1" applyBorder="1" applyAlignment="1">
      <alignment horizontal="center" vertical="center"/>
    </xf>
    <xf numFmtId="3" fontId="0" fillId="5" borderId="31" xfId="0" applyNumberForma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66" fontId="0" fillId="0" borderId="30" xfId="0" applyNumberFormat="1" applyFill="1" applyBorder="1" applyAlignment="1">
      <alignment horizontal="center" vertical="center"/>
    </xf>
    <xf numFmtId="166" fontId="0" fillId="0" borderId="16" xfId="0" applyNumberFormat="1" applyFill="1" applyBorder="1" applyAlignment="1">
      <alignment horizontal="center" vertical="center"/>
    </xf>
    <xf numFmtId="166" fontId="0" fillId="0" borderId="31" xfId="0" applyNumberForma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4" fontId="0" fillId="5" borderId="16" xfId="0" applyNumberFormat="1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2" fontId="1" fillId="0" borderId="30" xfId="0" applyNumberFormat="1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/>
    </xf>
    <xf numFmtId="2" fontId="1" fillId="4" borderId="46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165" fontId="1" fillId="0" borderId="30" xfId="0" applyNumberFormat="1" applyFont="1" applyBorder="1" applyAlignment="1">
      <alignment horizontal="center" vertical="center" wrapText="1"/>
    </xf>
    <xf numFmtId="165" fontId="1" fillId="0" borderId="16" xfId="0" applyNumberFormat="1" applyFont="1" applyBorder="1" applyAlignment="1">
      <alignment horizontal="center" vertical="center" wrapText="1"/>
    </xf>
    <xf numFmtId="165" fontId="1" fillId="0" borderId="31" xfId="0" applyNumberFormat="1" applyFont="1" applyBorder="1" applyAlignment="1">
      <alignment horizontal="center" vertical="center" wrapText="1"/>
    </xf>
    <xf numFmtId="165" fontId="0" fillId="0" borderId="30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0" fillId="0" borderId="31" xfId="0" applyNumberFormat="1" applyBorder="1" applyAlignment="1">
      <alignment horizontal="center" vertical="center"/>
    </xf>
    <xf numFmtId="165" fontId="0" fillId="5" borderId="30" xfId="0" applyNumberFormat="1" applyFill="1" applyBorder="1" applyAlignment="1">
      <alignment horizontal="center" vertical="center"/>
    </xf>
    <xf numFmtId="165" fontId="0" fillId="5" borderId="16" xfId="0" applyNumberFormat="1" applyFill="1" applyBorder="1" applyAlignment="1">
      <alignment horizontal="center" vertical="center"/>
    </xf>
    <xf numFmtId="165" fontId="0" fillId="5" borderId="31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0" fillId="0" borderId="12" xfId="0" applyNumberFormat="1" applyBorder="1" applyAlignment="1">
      <alignment horizontal="center" vertical="center"/>
    </xf>
    <xf numFmtId="4" fontId="0" fillId="0" borderId="12" xfId="0" applyNumberFormat="1" applyFill="1" applyBorder="1" applyAlignment="1">
      <alignment horizontal="center" vertical="center"/>
    </xf>
    <xf numFmtId="4" fontId="0" fillId="5" borderId="12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4" fontId="0" fillId="0" borderId="33" xfId="0" applyNumberForma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0" fillId="0" borderId="32" xfId="0" applyNumberFormat="1" applyBorder="1" applyAlignment="1">
      <alignment horizontal="center"/>
    </xf>
    <xf numFmtId="4" fontId="0" fillId="5" borderId="33" xfId="0" applyNumberForma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" fontId="0" fillId="5" borderId="32" xfId="0" applyNumberFormat="1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4" fontId="0" fillId="0" borderId="33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32" xfId="0" applyNumberFormat="1" applyFill="1" applyBorder="1" applyAlignment="1">
      <alignment horizontal="center" vertical="center" wrapText="1"/>
    </xf>
    <xf numFmtId="0" fontId="1" fillId="4" borderId="42" xfId="0" applyNumberFormat="1" applyFont="1" applyFill="1" applyBorder="1" applyAlignment="1">
      <alignment horizontal="center" vertical="center"/>
    </xf>
    <xf numFmtId="0" fontId="1" fillId="4" borderId="5" xfId="0" applyNumberFormat="1" applyFont="1" applyFill="1" applyBorder="1" applyAlignment="1">
      <alignment horizontal="center" vertical="center"/>
    </xf>
    <xf numFmtId="0" fontId="1" fillId="4" borderId="44" xfId="0" applyNumberFormat="1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166" fontId="0" fillId="0" borderId="33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0" borderId="32" xfId="0" applyNumberFormat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6" fontId="0" fillId="0" borderId="32" xfId="0" applyNumberFormat="1" applyFill="1" applyBorder="1" applyAlignment="1">
      <alignment horizontal="center" vertical="center"/>
    </xf>
    <xf numFmtId="166" fontId="0" fillId="5" borderId="33" xfId="0" applyNumberFormat="1" applyFill="1" applyBorder="1" applyAlignment="1">
      <alignment horizontal="center" vertical="center"/>
    </xf>
    <xf numFmtId="166" fontId="0" fillId="5" borderId="1" xfId="0" applyNumberFormat="1" applyFill="1" applyBorder="1" applyAlignment="1">
      <alignment horizontal="center" vertical="center"/>
    </xf>
    <xf numFmtId="166" fontId="0" fillId="5" borderId="32" xfId="0" applyNumberFormat="1" applyFill="1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4" fontId="0" fillId="0" borderId="32" xfId="0" applyNumberForma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47" xfId="0" applyFont="1" applyFill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/>
    </xf>
    <xf numFmtId="2" fontId="1" fillId="0" borderId="16" xfId="0" applyNumberFormat="1" applyFont="1" applyBorder="1" applyAlignment="1">
      <alignment horizontal="center" vertical="center"/>
    </xf>
    <xf numFmtId="166" fontId="0" fillId="0" borderId="33" xfId="0" applyNumberFormat="1" applyFill="1" applyBorder="1" applyAlignment="1">
      <alignment horizontal="center" vertical="center"/>
    </xf>
    <xf numFmtId="166" fontId="0" fillId="5" borderId="30" xfId="0" applyNumberFormat="1" applyFill="1" applyBorder="1" applyAlignment="1">
      <alignment horizontal="center" vertical="center"/>
    </xf>
    <xf numFmtId="166" fontId="0" fillId="5" borderId="16" xfId="0" applyNumberFormat="1" applyFill="1" applyBorder="1" applyAlignment="1">
      <alignment horizontal="center" vertical="center"/>
    </xf>
    <xf numFmtId="166" fontId="0" fillId="5" borderId="31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4" fontId="0" fillId="0" borderId="33" xfId="0" applyNumberFormat="1" applyBorder="1" applyAlignment="1">
      <alignment horizontal="center"/>
    </xf>
    <xf numFmtId="4" fontId="0" fillId="5" borderId="20" xfId="0" applyNumberFormat="1" applyFill="1" applyBorder="1" applyAlignment="1">
      <alignment horizontal="center" vertical="center"/>
    </xf>
    <xf numFmtId="4" fontId="0" fillId="0" borderId="20" xfId="0" applyNumberForma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3" fontId="0" fillId="5" borderId="12" xfId="0" applyNumberForma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5" borderId="30" xfId="0" applyNumberFormat="1" applyFill="1" applyBorder="1" applyAlignment="1">
      <alignment horizontal="center" vertical="center" wrapText="1"/>
    </xf>
    <xf numFmtId="4" fontId="0" fillId="5" borderId="16" xfId="0" applyNumberFormat="1" applyFill="1" applyBorder="1" applyAlignment="1">
      <alignment horizontal="center" vertical="center" wrapText="1"/>
    </xf>
    <xf numFmtId="4" fontId="0" fillId="5" borderId="31" xfId="0" applyNumberFormat="1" applyFill="1" applyBorder="1" applyAlignment="1">
      <alignment horizontal="center" vertical="center" wrapText="1"/>
    </xf>
    <xf numFmtId="4" fontId="0" fillId="0" borderId="30" xfId="0" applyNumberFormat="1" applyBorder="1" applyAlignment="1">
      <alignment horizontal="center" wrapText="1"/>
    </xf>
    <xf numFmtId="4" fontId="0" fillId="0" borderId="12" xfId="0" applyNumberFormat="1" applyBorder="1" applyAlignment="1">
      <alignment horizontal="center" wrapText="1"/>
    </xf>
    <xf numFmtId="4" fontId="0" fillId="0" borderId="15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6"/>
  <sheetViews>
    <sheetView tabSelected="1" zoomScale="80" zoomScaleNormal="80" workbookViewId="0">
      <selection activeCell="I12" sqref="I12:I16"/>
    </sheetView>
  </sheetViews>
  <sheetFormatPr defaultRowHeight="15" x14ac:dyDescent="0.25"/>
  <cols>
    <col min="1" max="1" width="29.42578125" style="1" customWidth="1"/>
    <col min="2" max="2" width="31.42578125" style="1" customWidth="1"/>
    <col min="3" max="3" width="25.28515625" style="1" customWidth="1"/>
    <col min="4" max="4" width="60" customWidth="1"/>
    <col min="5" max="5" width="30.140625" style="6" customWidth="1"/>
    <col min="6" max="6" width="20.5703125" customWidth="1"/>
    <col min="7" max="7" width="16.85546875" customWidth="1"/>
    <col min="8" max="8" width="15" style="108" customWidth="1"/>
    <col min="9" max="9" width="14.140625" style="102" customWidth="1"/>
    <col min="10" max="11" width="14.140625" customWidth="1"/>
    <col min="12" max="12" width="13.42578125" hidden="1" customWidth="1"/>
    <col min="13" max="13" width="13.42578125" style="10" hidden="1" customWidth="1"/>
    <col min="14" max="14" width="13.42578125" style="112" customWidth="1"/>
    <col min="15" max="16" width="12.140625" customWidth="1"/>
    <col min="17" max="17" width="13.85546875" customWidth="1"/>
  </cols>
  <sheetData>
    <row r="1" spans="1:17" ht="106.5" thickTop="1" thickBot="1" x14ac:dyDescent="0.3">
      <c r="A1" s="15" t="s">
        <v>1</v>
      </c>
      <c r="B1" s="16" t="s">
        <v>9</v>
      </c>
      <c r="C1" s="16" t="s">
        <v>3</v>
      </c>
      <c r="D1" s="17" t="s">
        <v>0</v>
      </c>
      <c r="E1" s="18" t="s">
        <v>256</v>
      </c>
      <c r="F1" s="19" t="s">
        <v>122</v>
      </c>
      <c r="G1" s="19" t="s">
        <v>186</v>
      </c>
      <c r="H1" s="204" t="s">
        <v>244</v>
      </c>
      <c r="I1" s="19" t="s">
        <v>136</v>
      </c>
      <c r="J1" s="19" t="s">
        <v>182</v>
      </c>
      <c r="K1" s="19" t="s">
        <v>255</v>
      </c>
      <c r="L1" s="19" t="s">
        <v>139</v>
      </c>
      <c r="M1" s="20" t="s">
        <v>137</v>
      </c>
      <c r="N1" s="109" t="s">
        <v>254</v>
      </c>
      <c r="O1" s="20" t="s">
        <v>259</v>
      </c>
      <c r="P1" s="20" t="s">
        <v>187</v>
      </c>
      <c r="Q1" s="198" t="s">
        <v>260</v>
      </c>
    </row>
    <row r="2" spans="1:17" ht="15.75" customHeight="1" x14ac:dyDescent="0.25">
      <c r="A2" s="300" t="s">
        <v>2</v>
      </c>
      <c r="B2" s="329" t="s">
        <v>10</v>
      </c>
      <c r="C2" s="329" t="s">
        <v>4</v>
      </c>
      <c r="D2" s="189" t="s">
        <v>5</v>
      </c>
      <c r="E2" s="194" t="s">
        <v>123</v>
      </c>
      <c r="F2" s="195">
        <v>482</v>
      </c>
      <c r="G2" s="291">
        <f>SUM(F2:F4)/3</f>
        <v>385.66666666666669</v>
      </c>
      <c r="H2" s="297">
        <f>SUM(G2-(1*G2/100))</f>
        <v>381.81</v>
      </c>
      <c r="I2" s="305">
        <v>268</v>
      </c>
      <c r="J2" s="305">
        <v>318</v>
      </c>
      <c r="K2" s="305"/>
      <c r="L2" s="291">
        <f>SUM(J2-G2)</f>
        <v>-67.666666666666686</v>
      </c>
      <c r="M2" s="291">
        <f>SUM(L2*100)/G2</f>
        <v>-17.545375972342271</v>
      </c>
      <c r="N2" s="297">
        <f>SUM(I2+J2)/2</f>
        <v>293</v>
      </c>
      <c r="O2" s="292">
        <v>100</v>
      </c>
      <c r="P2" s="292" t="s">
        <v>188</v>
      </c>
      <c r="Q2" s="315">
        <f>SUM((40*100)/100)+((40*100)/100)+((20*100)/100)</f>
        <v>100</v>
      </c>
    </row>
    <row r="3" spans="1:17" x14ac:dyDescent="0.25">
      <c r="A3" s="301"/>
      <c r="B3" s="303"/>
      <c r="C3" s="303"/>
      <c r="D3" s="4" t="s">
        <v>6</v>
      </c>
      <c r="E3" s="7" t="s">
        <v>123</v>
      </c>
      <c r="F3" s="2">
        <v>349</v>
      </c>
      <c r="G3" s="289"/>
      <c r="H3" s="298"/>
      <c r="I3" s="306"/>
      <c r="J3" s="306"/>
      <c r="K3" s="306"/>
      <c r="L3" s="289"/>
      <c r="M3" s="289"/>
      <c r="N3" s="298"/>
      <c r="O3" s="293"/>
      <c r="P3" s="293"/>
      <c r="Q3" s="316"/>
    </row>
    <row r="4" spans="1:17" x14ac:dyDescent="0.25">
      <c r="A4" s="301"/>
      <c r="B4" s="303"/>
      <c r="C4" s="303"/>
      <c r="D4" s="4" t="s">
        <v>7</v>
      </c>
      <c r="E4" s="7" t="s">
        <v>123</v>
      </c>
      <c r="F4" s="2">
        <v>326</v>
      </c>
      <c r="G4" s="289"/>
      <c r="H4" s="298"/>
      <c r="I4" s="306"/>
      <c r="J4" s="306"/>
      <c r="K4" s="306"/>
      <c r="L4" s="289"/>
      <c r="M4" s="289"/>
      <c r="N4" s="298"/>
      <c r="O4" s="293"/>
      <c r="P4" s="293"/>
      <c r="Q4" s="316"/>
    </row>
    <row r="5" spans="1:17" x14ac:dyDescent="0.25">
      <c r="A5" s="301"/>
      <c r="B5" s="303"/>
      <c r="C5" s="303"/>
      <c r="D5" s="4" t="s">
        <v>111</v>
      </c>
      <c r="E5" s="7" t="s">
        <v>123</v>
      </c>
      <c r="F5" s="2">
        <v>268</v>
      </c>
      <c r="G5" s="289"/>
      <c r="H5" s="298"/>
      <c r="I5" s="306"/>
      <c r="J5" s="306"/>
      <c r="K5" s="306"/>
      <c r="L5" s="289"/>
      <c r="M5" s="289"/>
      <c r="N5" s="298"/>
      <c r="O5" s="293"/>
      <c r="P5" s="293"/>
      <c r="Q5" s="316"/>
    </row>
    <row r="6" spans="1:17" x14ac:dyDescent="0.25">
      <c r="A6" s="301"/>
      <c r="B6" s="303"/>
      <c r="C6" s="303"/>
      <c r="D6" s="4" t="s">
        <v>183</v>
      </c>
      <c r="E6" s="7" t="s">
        <v>123</v>
      </c>
      <c r="F6" s="9">
        <v>318</v>
      </c>
      <c r="G6" s="289"/>
      <c r="H6" s="298"/>
      <c r="I6" s="306"/>
      <c r="J6" s="306"/>
      <c r="K6" s="306"/>
      <c r="L6" s="289"/>
      <c r="M6" s="289"/>
      <c r="N6" s="298"/>
      <c r="O6" s="293"/>
      <c r="P6" s="293"/>
      <c r="Q6" s="316"/>
    </row>
    <row r="7" spans="1:17" ht="15" customHeight="1" x14ac:dyDescent="0.25">
      <c r="A7" s="301"/>
      <c r="B7" s="303" t="s">
        <v>11</v>
      </c>
      <c r="C7" s="303" t="s">
        <v>8</v>
      </c>
      <c r="D7" s="4" t="s">
        <v>13</v>
      </c>
      <c r="E7" s="7" t="s">
        <v>123</v>
      </c>
      <c r="F7" s="9">
        <v>190</v>
      </c>
      <c r="G7" s="289">
        <f>SUM(F7:F9)/3</f>
        <v>210</v>
      </c>
      <c r="H7" s="298">
        <f>SUM(G7+(1*G7/100))</f>
        <v>212.1</v>
      </c>
      <c r="I7" s="306">
        <v>195</v>
      </c>
      <c r="J7" s="306">
        <v>253</v>
      </c>
      <c r="K7" s="306"/>
      <c r="L7" s="289">
        <f>SUM(J7-G7)</f>
        <v>43</v>
      </c>
      <c r="M7" s="289">
        <f>SUM(L7*100)/G7</f>
        <v>20.476190476190474</v>
      </c>
      <c r="N7" s="298">
        <f>SUM(I7+J7)/2</f>
        <v>224</v>
      </c>
      <c r="O7" s="293">
        <v>100</v>
      </c>
      <c r="P7" s="293" t="s">
        <v>188</v>
      </c>
      <c r="Q7" s="316"/>
    </row>
    <row r="8" spans="1:17" x14ac:dyDescent="0.25">
      <c r="A8" s="301"/>
      <c r="B8" s="303"/>
      <c r="C8" s="303"/>
      <c r="D8" s="4" t="s">
        <v>14</v>
      </c>
      <c r="E8" s="7" t="s">
        <v>123</v>
      </c>
      <c r="F8" s="9">
        <v>213</v>
      </c>
      <c r="G8" s="289"/>
      <c r="H8" s="298"/>
      <c r="I8" s="306"/>
      <c r="J8" s="306"/>
      <c r="K8" s="306"/>
      <c r="L8" s="289"/>
      <c r="M8" s="289"/>
      <c r="N8" s="298"/>
      <c r="O8" s="293"/>
      <c r="P8" s="293"/>
      <c r="Q8" s="316"/>
    </row>
    <row r="9" spans="1:17" x14ac:dyDescent="0.25">
      <c r="A9" s="301"/>
      <c r="B9" s="303"/>
      <c r="C9" s="303"/>
      <c r="D9" s="4" t="s">
        <v>15</v>
      </c>
      <c r="E9" s="7" t="s">
        <v>123</v>
      </c>
      <c r="F9" s="9">
        <v>227</v>
      </c>
      <c r="G9" s="289"/>
      <c r="H9" s="298"/>
      <c r="I9" s="306"/>
      <c r="J9" s="306"/>
      <c r="K9" s="306"/>
      <c r="L9" s="289"/>
      <c r="M9" s="289"/>
      <c r="N9" s="298"/>
      <c r="O9" s="293"/>
      <c r="P9" s="293"/>
      <c r="Q9" s="316"/>
    </row>
    <row r="10" spans="1:17" x14ac:dyDescent="0.25">
      <c r="A10" s="301"/>
      <c r="B10" s="303"/>
      <c r="C10" s="303"/>
      <c r="D10" s="4" t="s">
        <v>12</v>
      </c>
      <c r="E10" s="7" t="s">
        <v>123</v>
      </c>
      <c r="F10" s="9">
        <v>195</v>
      </c>
      <c r="G10" s="289"/>
      <c r="H10" s="298"/>
      <c r="I10" s="306"/>
      <c r="J10" s="306"/>
      <c r="K10" s="306"/>
      <c r="L10" s="289"/>
      <c r="M10" s="289"/>
      <c r="N10" s="298"/>
      <c r="O10" s="293"/>
      <c r="P10" s="293"/>
      <c r="Q10" s="316"/>
    </row>
    <row r="11" spans="1:17" x14ac:dyDescent="0.25">
      <c r="A11" s="301"/>
      <c r="B11" s="303"/>
      <c r="C11" s="303"/>
      <c r="D11" s="4" t="s">
        <v>184</v>
      </c>
      <c r="E11" s="7" t="s">
        <v>123</v>
      </c>
      <c r="F11" s="9">
        <v>253</v>
      </c>
      <c r="G11" s="289"/>
      <c r="H11" s="298"/>
      <c r="I11" s="306"/>
      <c r="J11" s="306"/>
      <c r="K11" s="306"/>
      <c r="L11" s="289"/>
      <c r="M11" s="289"/>
      <c r="N11" s="298"/>
      <c r="O11" s="293"/>
      <c r="P11" s="293"/>
      <c r="Q11" s="316"/>
    </row>
    <row r="12" spans="1:17" ht="15" customHeight="1" x14ac:dyDescent="0.25">
      <c r="A12" s="301"/>
      <c r="B12" s="303" t="s">
        <v>165</v>
      </c>
      <c r="C12" s="303" t="s">
        <v>8</v>
      </c>
      <c r="D12" s="4" t="s">
        <v>166</v>
      </c>
      <c r="E12" s="7" t="s">
        <v>123</v>
      </c>
      <c r="F12" s="9">
        <v>26.7</v>
      </c>
      <c r="G12" s="289">
        <f>SUM(F12:F14)/3</f>
        <v>25.166666666666668</v>
      </c>
      <c r="H12" s="298">
        <f>SUM(G12+(1*G12/100))</f>
        <v>25.418333333333333</v>
      </c>
      <c r="I12" s="307">
        <v>27.2</v>
      </c>
      <c r="J12" s="307">
        <v>31.1</v>
      </c>
      <c r="K12" s="306"/>
      <c r="L12" s="289">
        <f>SUM(J12-G12)</f>
        <v>5.9333333333333336</v>
      </c>
      <c r="M12" s="289">
        <f>SUM(L12*100)/G12</f>
        <v>23.576158940397352</v>
      </c>
      <c r="N12" s="298">
        <f>SUM(I12+J12)/2</f>
        <v>29.15</v>
      </c>
      <c r="O12" s="293">
        <v>100</v>
      </c>
      <c r="P12" s="293" t="s">
        <v>189</v>
      </c>
      <c r="Q12" s="316"/>
    </row>
    <row r="13" spans="1:17" x14ac:dyDescent="0.25">
      <c r="A13" s="301"/>
      <c r="B13" s="303"/>
      <c r="C13" s="303"/>
      <c r="D13" s="4" t="s">
        <v>167</v>
      </c>
      <c r="E13" s="7" t="s">
        <v>123</v>
      </c>
      <c r="F13" s="9">
        <v>22.6</v>
      </c>
      <c r="G13" s="289"/>
      <c r="H13" s="298"/>
      <c r="I13" s="307"/>
      <c r="J13" s="307"/>
      <c r="K13" s="306"/>
      <c r="L13" s="289"/>
      <c r="M13" s="289"/>
      <c r="N13" s="298"/>
      <c r="O13" s="293"/>
      <c r="P13" s="293"/>
      <c r="Q13" s="316"/>
    </row>
    <row r="14" spans="1:17" x14ac:dyDescent="0.25">
      <c r="A14" s="301"/>
      <c r="B14" s="303"/>
      <c r="C14" s="303"/>
      <c r="D14" s="4" t="s">
        <v>168</v>
      </c>
      <c r="E14" s="7" t="s">
        <v>123</v>
      </c>
      <c r="F14" s="9">
        <v>26.2</v>
      </c>
      <c r="G14" s="289"/>
      <c r="H14" s="298"/>
      <c r="I14" s="307"/>
      <c r="J14" s="307"/>
      <c r="K14" s="306"/>
      <c r="L14" s="289"/>
      <c r="M14" s="289"/>
      <c r="N14" s="298"/>
      <c r="O14" s="293"/>
      <c r="P14" s="293"/>
      <c r="Q14" s="316"/>
    </row>
    <row r="15" spans="1:17" x14ac:dyDescent="0.25">
      <c r="A15" s="301"/>
      <c r="B15" s="303"/>
      <c r="C15" s="303"/>
      <c r="D15" s="4" t="s">
        <v>169</v>
      </c>
      <c r="E15" s="7" t="s">
        <v>123</v>
      </c>
      <c r="F15" s="197">
        <v>27.2</v>
      </c>
      <c r="G15" s="289"/>
      <c r="H15" s="298"/>
      <c r="I15" s="307"/>
      <c r="J15" s="307"/>
      <c r="K15" s="306"/>
      <c r="L15" s="289"/>
      <c r="M15" s="289"/>
      <c r="N15" s="298"/>
      <c r="O15" s="293"/>
      <c r="P15" s="293"/>
      <c r="Q15" s="316"/>
    </row>
    <row r="16" spans="1:17" ht="15.75" thickBot="1" x14ac:dyDescent="0.3">
      <c r="A16" s="302"/>
      <c r="B16" s="304"/>
      <c r="C16" s="304"/>
      <c r="D16" s="127" t="s">
        <v>185</v>
      </c>
      <c r="E16" s="128" t="s">
        <v>123</v>
      </c>
      <c r="F16" s="196">
        <v>31.1</v>
      </c>
      <c r="G16" s="290"/>
      <c r="H16" s="299"/>
      <c r="I16" s="308"/>
      <c r="J16" s="308"/>
      <c r="K16" s="330"/>
      <c r="L16" s="290"/>
      <c r="M16" s="290"/>
      <c r="N16" s="299"/>
      <c r="O16" s="294"/>
      <c r="P16" s="294"/>
      <c r="Q16" s="317"/>
    </row>
    <row r="17" spans="1:17" ht="30.75" customHeight="1" x14ac:dyDescent="0.25">
      <c r="A17" s="300" t="s">
        <v>16</v>
      </c>
      <c r="B17" s="329" t="s">
        <v>17</v>
      </c>
      <c r="C17" s="329" t="s">
        <v>18</v>
      </c>
      <c r="D17" s="189" t="s">
        <v>124</v>
      </c>
      <c r="E17" s="190" t="s">
        <v>227</v>
      </c>
      <c r="F17" s="191">
        <f>SUM(109/8001)</f>
        <v>1.3623297087864018E-2</v>
      </c>
      <c r="G17" s="321">
        <f>SUM(F17:F19)/3</f>
        <v>1.6554008740671301E-2</v>
      </c>
      <c r="H17" s="326">
        <f>SUM(G17 +(2*G17/100))</f>
        <v>1.6885088915484726E-2</v>
      </c>
      <c r="I17" s="336">
        <f>SUM(F20)</f>
        <v>2.3793565683646111E-2</v>
      </c>
      <c r="J17" s="336">
        <f>SUM(F21)</f>
        <v>2.8645833333333332E-2</v>
      </c>
      <c r="K17" s="305"/>
      <c r="L17" s="321">
        <f>SUM(J17-G17)</f>
        <v>1.2091824592662032E-2</v>
      </c>
      <c r="M17" s="321">
        <f>SUM(J17-H17)</f>
        <v>1.1760744417848606E-2</v>
      </c>
      <c r="N17" s="326">
        <f>SUM(I17+J17)/2</f>
        <v>2.6219699508489722E-2</v>
      </c>
      <c r="O17" s="292">
        <v>100</v>
      </c>
      <c r="P17" s="292" t="s">
        <v>192</v>
      </c>
      <c r="Q17" s="309">
        <v>100</v>
      </c>
    </row>
    <row r="18" spans="1:17" ht="30" x14ac:dyDescent="0.25">
      <c r="A18" s="301"/>
      <c r="B18" s="303"/>
      <c r="C18" s="303"/>
      <c r="D18" s="4" t="s">
        <v>125</v>
      </c>
      <c r="E18" s="62" t="s">
        <v>228</v>
      </c>
      <c r="F18" s="90">
        <f>122/7340</f>
        <v>1.662125340599455E-2</v>
      </c>
      <c r="G18" s="322"/>
      <c r="H18" s="327"/>
      <c r="I18" s="324"/>
      <c r="J18" s="324"/>
      <c r="K18" s="306"/>
      <c r="L18" s="322"/>
      <c r="M18" s="322"/>
      <c r="N18" s="327"/>
      <c r="O18" s="293"/>
      <c r="P18" s="293"/>
      <c r="Q18" s="310"/>
    </row>
    <row r="19" spans="1:17" ht="30" x14ac:dyDescent="0.25">
      <c r="A19" s="301"/>
      <c r="B19" s="303"/>
      <c r="C19" s="303"/>
      <c r="D19" s="4" t="s">
        <v>126</v>
      </c>
      <c r="E19" s="62" t="s">
        <v>229</v>
      </c>
      <c r="F19" s="90">
        <f>126/6489</f>
        <v>1.9417475728155338E-2</v>
      </c>
      <c r="G19" s="322"/>
      <c r="H19" s="327"/>
      <c r="I19" s="324"/>
      <c r="J19" s="324"/>
      <c r="K19" s="306"/>
      <c r="L19" s="322"/>
      <c r="M19" s="322"/>
      <c r="N19" s="327"/>
      <c r="O19" s="293"/>
      <c r="P19" s="293"/>
      <c r="Q19" s="310"/>
    </row>
    <row r="20" spans="1:17" ht="30" x14ac:dyDescent="0.25">
      <c r="A20" s="301"/>
      <c r="B20" s="303"/>
      <c r="C20" s="303"/>
      <c r="D20" s="4" t="s">
        <v>127</v>
      </c>
      <c r="E20" s="62" t="s">
        <v>230</v>
      </c>
      <c r="F20" s="90">
        <f>142/5968</f>
        <v>2.3793565683646111E-2</v>
      </c>
      <c r="G20" s="322"/>
      <c r="H20" s="327"/>
      <c r="I20" s="324"/>
      <c r="J20" s="324"/>
      <c r="K20" s="306"/>
      <c r="L20" s="322"/>
      <c r="M20" s="322"/>
      <c r="N20" s="327"/>
      <c r="O20" s="293"/>
      <c r="P20" s="293"/>
      <c r="Q20" s="310"/>
    </row>
    <row r="21" spans="1:17" ht="33" customHeight="1" x14ac:dyDescent="0.25">
      <c r="A21" s="301"/>
      <c r="B21" s="303"/>
      <c r="C21" s="303"/>
      <c r="D21" s="4" t="s">
        <v>190</v>
      </c>
      <c r="E21" s="62" t="s">
        <v>231</v>
      </c>
      <c r="F21" s="91">
        <f>SUM(154/5376)</f>
        <v>2.8645833333333332E-2</v>
      </c>
      <c r="G21" s="322"/>
      <c r="H21" s="327"/>
      <c r="I21" s="324"/>
      <c r="J21" s="324"/>
      <c r="K21" s="306"/>
      <c r="L21" s="322"/>
      <c r="M21" s="322"/>
      <c r="N21" s="327"/>
      <c r="O21" s="293"/>
      <c r="P21" s="293"/>
      <c r="Q21" s="310"/>
    </row>
    <row r="22" spans="1:17" ht="30" customHeight="1" x14ac:dyDescent="0.25">
      <c r="A22" s="301"/>
      <c r="B22" s="303" t="s">
        <v>19</v>
      </c>
      <c r="C22" s="303" t="s">
        <v>18</v>
      </c>
      <c r="D22" s="4" t="s">
        <v>128</v>
      </c>
      <c r="E22" s="62" t="s">
        <v>232</v>
      </c>
      <c r="F22" s="90">
        <f>7/269</f>
        <v>2.6022304832713755E-2</v>
      </c>
      <c r="G22" s="322">
        <f>SUM(F22:F24)/3</f>
        <v>4.0062632999435972E-2</v>
      </c>
      <c r="H22" s="327">
        <f>SUM(G22 +(2*G22/100))</f>
        <v>4.0863885659424691E-2</v>
      </c>
      <c r="I22" s="324">
        <f>SUM(F25)</f>
        <v>7.1428571428571425E-2</v>
      </c>
      <c r="J22" s="324">
        <f>SUM(F26)</f>
        <v>5.3639846743295021E-2</v>
      </c>
      <c r="K22" s="306"/>
      <c r="L22" s="322">
        <f>SUM(I22-G22)</f>
        <v>3.1365938429135452E-2</v>
      </c>
      <c r="M22" s="322">
        <f>SUM(J22-H22)</f>
        <v>1.277596108387033E-2</v>
      </c>
      <c r="N22" s="327">
        <f>SUM(I22+J22)/2</f>
        <v>6.2534209085933226E-2</v>
      </c>
      <c r="O22" s="293">
        <v>100</v>
      </c>
      <c r="P22" s="293" t="s">
        <v>188</v>
      </c>
      <c r="Q22" s="310"/>
    </row>
    <row r="23" spans="1:17" ht="30" x14ac:dyDescent="0.25">
      <c r="A23" s="301"/>
      <c r="B23" s="303"/>
      <c r="C23" s="303"/>
      <c r="D23" s="4" t="s">
        <v>129</v>
      </c>
      <c r="E23" s="62" t="s">
        <v>233</v>
      </c>
      <c r="F23" s="90">
        <f>13/234</f>
        <v>5.5555555555555552E-2</v>
      </c>
      <c r="G23" s="322"/>
      <c r="H23" s="327"/>
      <c r="I23" s="324"/>
      <c r="J23" s="324"/>
      <c r="K23" s="306"/>
      <c r="L23" s="322"/>
      <c r="M23" s="322"/>
      <c r="N23" s="327"/>
      <c r="O23" s="293"/>
      <c r="P23" s="293"/>
      <c r="Q23" s="310"/>
    </row>
    <row r="24" spans="1:17" ht="30" x14ac:dyDescent="0.25">
      <c r="A24" s="301"/>
      <c r="B24" s="303"/>
      <c r="C24" s="303"/>
      <c r="D24" s="4" t="s">
        <v>130</v>
      </c>
      <c r="E24" s="62" t="s">
        <v>234</v>
      </c>
      <c r="F24" s="90">
        <f>10/259</f>
        <v>3.8610038610038609E-2</v>
      </c>
      <c r="G24" s="322"/>
      <c r="H24" s="327"/>
      <c r="I24" s="324"/>
      <c r="J24" s="324"/>
      <c r="K24" s="306"/>
      <c r="L24" s="322"/>
      <c r="M24" s="322"/>
      <c r="N24" s="327"/>
      <c r="O24" s="293"/>
      <c r="P24" s="293"/>
      <c r="Q24" s="310"/>
    </row>
    <row r="25" spans="1:17" ht="30" x14ac:dyDescent="0.25">
      <c r="A25" s="301"/>
      <c r="B25" s="303"/>
      <c r="C25" s="303"/>
      <c r="D25" s="4" t="s">
        <v>131</v>
      </c>
      <c r="E25" s="62" t="s">
        <v>235</v>
      </c>
      <c r="F25" s="90">
        <f>18/252</f>
        <v>7.1428571428571425E-2</v>
      </c>
      <c r="G25" s="322"/>
      <c r="H25" s="327"/>
      <c r="I25" s="324"/>
      <c r="J25" s="324"/>
      <c r="K25" s="306"/>
      <c r="L25" s="322"/>
      <c r="M25" s="322"/>
      <c r="N25" s="327"/>
      <c r="O25" s="293"/>
      <c r="P25" s="293"/>
      <c r="Q25" s="310"/>
    </row>
    <row r="26" spans="1:17" ht="39.75" customHeight="1" thickBot="1" x14ac:dyDescent="0.3">
      <c r="A26" s="302"/>
      <c r="B26" s="304"/>
      <c r="C26" s="304"/>
      <c r="D26" s="127" t="s">
        <v>191</v>
      </c>
      <c r="E26" s="192" t="s">
        <v>236</v>
      </c>
      <c r="F26" s="193">
        <f>SUM(14/261)</f>
        <v>5.3639846743295021E-2</v>
      </c>
      <c r="G26" s="323"/>
      <c r="H26" s="328"/>
      <c r="I26" s="325"/>
      <c r="J26" s="325"/>
      <c r="K26" s="330"/>
      <c r="L26" s="323"/>
      <c r="M26" s="323"/>
      <c r="N26" s="328"/>
      <c r="O26" s="294"/>
      <c r="P26" s="294"/>
      <c r="Q26" s="311"/>
    </row>
    <row r="27" spans="1:17" ht="15" customHeight="1" x14ac:dyDescent="0.25">
      <c r="A27" s="331" t="s">
        <v>47</v>
      </c>
      <c r="B27" s="217" t="s">
        <v>20</v>
      </c>
      <c r="C27" s="217" t="s">
        <v>18</v>
      </c>
      <c r="D27" s="189" t="s">
        <v>22</v>
      </c>
      <c r="E27" s="142" t="s">
        <v>112</v>
      </c>
      <c r="F27" s="161">
        <v>20</v>
      </c>
      <c r="G27" s="291">
        <f>SUM(F27:F29)/3</f>
        <v>21.666666666666668</v>
      </c>
      <c r="H27" s="297">
        <f>SUM(G27 +(2*G27/100))</f>
        <v>22.1</v>
      </c>
      <c r="I27" s="305">
        <f>SUM(F30)</f>
        <v>30</v>
      </c>
      <c r="J27" s="305">
        <v>49</v>
      </c>
      <c r="K27" s="232"/>
      <c r="L27" s="291">
        <f>SUM(J27-G27)</f>
        <v>27.333333333333332</v>
      </c>
      <c r="M27" s="291">
        <f>SUM(J27-H27)</f>
        <v>26.9</v>
      </c>
      <c r="N27" s="234">
        <f>SUM(I27+J27)/2</f>
        <v>39.5</v>
      </c>
      <c r="O27" s="243">
        <v>100</v>
      </c>
      <c r="P27" s="243" t="s">
        <v>138</v>
      </c>
      <c r="Q27" s="205">
        <v>100</v>
      </c>
    </row>
    <row r="28" spans="1:17" x14ac:dyDescent="0.25">
      <c r="A28" s="332"/>
      <c r="B28" s="257"/>
      <c r="C28" s="257"/>
      <c r="D28" s="4" t="s">
        <v>23</v>
      </c>
      <c r="E28" s="8" t="s">
        <v>112</v>
      </c>
      <c r="F28" s="9">
        <v>20</v>
      </c>
      <c r="G28" s="289"/>
      <c r="H28" s="298"/>
      <c r="I28" s="306"/>
      <c r="J28" s="306"/>
      <c r="K28" s="241"/>
      <c r="L28" s="289"/>
      <c r="M28" s="289"/>
      <c r="N28" s="263"/>
      <c r="O28" s="244"/>
      <c r="P28" s="244"/>
      <c r="Q28" s="269"/>
    </row>
    <row r="29" spans="1:17" x14ac:dyDescent="0.25">
      <c r="A29" s="332"/>
      <c r="B29" s="257"/>
      <c r="C29" s="257"/>
      <c r="D29" s="4" t="s">
        <v>24</v>
      </c>
      <c r="E29" s="8" t="s">
        <v>112</v>
      </c>
      <c r="F29" s="9">
        <v>25</v>
      </c>
      <c r="G29" s="289"/>
      <c r="H29" s="298"/>
      <c r="I29" s="306"/>
      <c r="J29" s="306"/>
      <c r="K29" s="241"/>
      <c r="L29" s="289"/>
      <c r="M29" s="289"/>
      <c r="N29" s="263"/>
      <c r="O29" s="244"/>
      <c r="P29" s="244"/>
      <c r="Q29" s="269"/>
    </row>
    <row r="30" spans="1:17" x14ac:dyDescent="0.25">
      <c r="A30" s="332"/>
      <c r="B30" s="257"/>
      <c r="C30" s="257"/>
      <c r="D30" s="63" t="s">
        <v>21</v>
      </c>
      <c r="E30" s="69" t="s">
        <v>112</v>
      </c>
      <c r="F30" s="70">
        <v>30</v>
      </c>
      <c r="G30" s="289"/>
      <c r="H30" s="298"/>
      <c r="I30" s="306"/>
      <c r="J30" s="306"/>
      <c r="K30" s="241"/>
      <c r="L30" s="289"/>
      <c r="M30" s="289"/>
      <c r="N30" s="263"/>
      <c r="O30" s="244"/>
      <c r="P30" s="244"/>
      <c r="Q30" s="269"/>
    </row>
    <row r="31" spans="1:17" ht="15.75" thickBot="1" x14ac:dyDescent="0.3">
      <c r="A31" s="333"/>
      <c r="B31" s="226"/>
      <c r="C31" s="226"/>
      <c r="D31" s="127" t="s">
        <v>193</v>
      </c>
      <c r="E31" s="116" t="s">
        <v>112</v>
      </c>
      <c r="F31" s="135">
        <v>49</v>
      </c>
      <c r="G31" s="290"/>
      <c r="H31" s="299"/>
      <c r="I31" s="330"/>
      <c r="J31" s="330"/>
      <c r="K31" s="233"/>
      <c r="L31" s="290"/>
      <c r="M31" s="290"/>
      <c r="N31" s="235"/>
      <c r="O31" s="248"/>
      <c r="P31" s="248"/>
      <c r="Q31" s="206"/>
    </row>
    <row r="32" spans="1:17" ht="15.75" customHeight="1" x14ac:dyDescent="0.25">
      <c r="A32" s="318" t="s">
        <v>46</v>
      </c>
      <c r="B32" s="329" t="s">
        <v>25</v>
      </c>
      <c r="C32" s="329" t="s">
        <v>26</v>
      </c>
      <c r="D32" s="187" t="s">
        <v>28</v>
      </c>
      <c r="E32" s="142" t="s">
        <v>112</v>
      </c>
      <c r="F32" s="161">
        <v>35</v>
      </c>
      <c r="G32" s="291">
        <f>SUM(F32:F34)/3</f>
        <v>57.666666666666664</v>
      </c>
      <c r="H32" s="297">
        <f>SUM(G32 +3)</f>
        <v>60.666666666666664</v>
      </c>
      <c r="I32" s="305">
        <f>SUM(F35)</f>
        <v>119</v>
      </c>
      <c r="J32" s="305">
        <v>109</v>
      </c>
      <c r="K32" s="305"/>
      <c r="L32" s="291">
        <f>SUM(I32-G32)</f>
        <v>61.333333333333336</v>
      </c>
      <c r="M32" s="291"/>
      <c r="N32" s="297">
        <f>SUM(I32+J32)/2</f>
        <v>114</v>
      </c>
      <c r="O32" s="292">
        <v>100</v>
      </c>
      <c r="P32" s="292" t="s">
        <v>140</v>
      </c>
      <c r="Q32" s="312">
        <v>100</v>
      </c>
    </row>
    <row r="33" spans="1:21" ht="15" customHeight="1" x14ac:dyDescent="0.25">
      <c r="A33" s="319"/>
      <c r="B33" s="303"/>
      <c r="C33" s="303"/>
      <c r="D33" s="3" t="s">
        <v>29</v>
      </c>
      <c r="E33" s="8" t="s">
        <v>112</v>
      </c>
      <c r="F33" s="9">
        <v>57</v>
      </c>
      <c r="G33" s="289"/>
      <c r="H33" s="298"/>
      <c r="I33" s="306"/>
      <c r="J33" s="306"/>
      <c r="K33" s="306"/>
      <c r="L33" s="289"/>
      <c r="M33" s="289"/>
      <c r="N33" s="298"/>
      <c r="O33" s="293"/>
      <c r="P33" s="293"/>
      <c r="Q33" s="313"/>
      <c r="S33" s="340" t="s">
        <v>237</v>
      </c>
      <c r="T33" s="340"/>
      <c r="U33" s="340"/>
    </row>
    <row r="34" spans="1:21" x14ac:dyDescent="0.25">
      <c r="A34" s="319"/>
      <c r="B34" s="303"/>
      <c r="C34" s="303"/>
      <c r="D34" s="3" t="s">
        <v>30</v>
      </c>
      <c r="E34" s="8" t="s">
        <v>112</v>
      </c>
      <c r="F34" s="9">
        <v>81</v>
      </c>
      <c r="G34" s="289"/>
      <c r="H34" s="298"/>
      <c r="I34" s="306"/>
      <c r="J34" s="306"/>
      <c r="K34" s="306"/>
      <c r="L34" s="289"/>
      <c r="M34" s="289"/>
      <c r="N34" s="298"/>
      <c r="O34" s="293"/>
      <c r="P34" s="293"/>
      <c r="Q34" s="313"/>
      <c r="S34" s="340"/>
      <c r="T34" s="340"/>
      <c r="U34" s="340"/>
    </row>
    <row r="35" spans="1:21" x14ac:dyDescent="0.25">
      <c r="A35" s="319"/>
      <c r="B35" s="303"/>
      <c r="C35" s="303"/>
      <c r="D35" s="3" t="s">
        <v>27</v>
      </c>
      <c r="E35" s="8" t="s">
        <v>112</v>
      </c>
      <c r="F35" s="9">
        <v>119</v>
      </c>
      <c r="G35" s="289"/>
      <c r="H35" s="298"/>
      <c r="I35" s="306"/>
      <c r="J35" s="306"/>
      <c r="K35" s="306"/>
      <c r="L35" s="289"/>
      <c r="M35" s="289"/>
      <c r="N35" s="298"/>
      <c r="O35" s="293"/>
      <c r="P35" s="293"/>
      <c r="Q35" s="313"/>
      <c r="S35" s="340"/>
      <c r="T35" s="340"/>
      <c r="U35" s="340"/>
    </row>
    <row r="36" spans="1:21" x14ac:dyDescent="0.25">
      <c r="A36" s="319"/>
      <c r="B36" s="303"/>
      <c r="C36" s="303"/>
      <c r="D36" s="3" t="s">
        <v>194</v>
      </c>
      <c r="E36" s="8" t="s">
        <v>112</v>
      </c>
      <c r="F36" s="9">
        <v>109</v>
      </c>
      <c r="G36" s="289"/>
      <c r="H36" s="298"/>
      <c r="I36" s="306"/>
      <c r="J36" s="306"/>
      <c r="K36" s="306"/>
      <c r="L36" s="289"/>
      <c r="M36" s="289"/>
      <c r="N36" s="298"/>
      <c r="O36" s="293"/>
      <c r="P36" s="293"/>
      <c r="Q36" s="313"/>
      <c r="S36" s="340"/>
      <c r="T36" s="340"/>
      <c r="U36" s="340"/>
    </row>
    <row r="37" spans="1:21" ht="14.25" customHeight="1" x14ac:dyDescent="0.25">
      <c r="A37" s="319"/>
      <c r="B37" s="303" t="s">
        <v>31</v>
      </c>
      <c r="C37" s="303" t="s">
        <v>26</v>
      </c>
      <c r="D37" s="3" t="s">
        <v>33</v>
      </c>
      <c r="E37" s="8" t="s">
        <v>114</v>
      </c>
      <c r="F37" s="9">
        <v>3</v>
      </c>
      <c r="G37" s="289">
        <f>SUM(F37:F39)/3</f>
        <v>3</v>
      </c>
      <c r="H37" s="298">
        <f>SUM(G37 +3)</f>
        <v>6</v>
      </c>
      <c r="I37" s="306">
        <f>SUM(F40)</f>
        <v>3</v>
      </c>
      <c r="J37" s="306">
        <v>3</v>
      </c>
      <c r="K37" s="306"/>
      <c r="L37" s="289"/>
      <c r="M37" s="295"/>
      <c r="N37" s="298">
        <f>SUM(I37+J37)/2</f>
        <v>3</v>
      </c>
      <c r="O37" s="293">
        <v>100</v>
      </c>
      <c r="P37" s="293" t="s">
        <v>140</v>
      </c>
      <c r="Q37" s="313"/>
      <c r="S37" s="340"/>
      <c r="T37" s="340"/>
      <c r="U37" s="340"/>
    </row>
    <row r="38" spans="1:21" ht="17.25" customHeight="1" x14ac:dyDescent="0.25">
      <c r="A38" s="319"/>
      <c r="B38" s="303"/>
      <c r="C38" s="303"/>
      <c r="D38" s="3" t="s">
        <v>34</v>
      </c>
      <c r="E38" s="8" t="s">
        <v>114</v>
      </c>
      <c r="F38" s="9">
        <v>3</v>
      </c>
      <c r="G38" s="289"/>
      <c r="H38" s="298"/>
      <c r="I38" s="306"/>
      <c r="J38" s="306"/>
      <c r="K38" s="306"/>
      <c r="L38" s="289"/>
      <c r="M38" s="295"/>
      <c r="N38" s="298"/>
      <c r="O38" s="293"/>
      <c r="P38" s="293"/>
      <c r="Q38" s="313"/>
      <c r="S38" s="340"/>
      <c r="T38" s="340"/>
      <c r="U38" s="340"/>
    </row>
    <row r="39" spans="1:21" ht="19.5" customHeight="1" x14ac:dyDescent="0.25">
      <c r="A39" s="319"/>
      <c r="B39" s="303"/>
      <c r="C39" s="303"/>
      <c r="D39" s="3" t="s">
        <v>35</v>
      </c>
      <c r="E39" s="8" t="s">
        <v>114</v>
      </c>
      <c r="F39" s="9">
        <v>3</v>
      </c>
      <c r="G39" s="289"/>
      <c r="H39" s="298"/>
      <c r="I39" s="306"/>
      <c r="J39" s="306"/>
      <c r="K39" s="306"/>
      <c r="L39" s="289"/>
      <c r="M39" s="295"/>
      <c r="N39" s="298"/>
      <c r="O39" s="293"/>
      <c r="P39" s="293"/>
      <c r="Q39" s="313"/>
      <c r="S39" s="340"/>
      <c r="T39" s="340"/>
      <c r="U39" s="340"/>
    </row>
    <row r="40" spans="1:21" ht="18" customHeight="1" x14ac:dyDescent="0.25">
      <c r="A40" s="319"/>
      <c r="B40" s="303"/>
      <c r="C40" s="303"/>
      <c r="D40" s="3" t="s">
        <v>32</v>
      </c>
      <c r="E40" s="8" t="s">
        <v>114</v>
      </c>
      <c r="F40" s="9">
        <v>3</v>
      </c>
      <c r="G40" s="289"/>
      <c r="H40" s="298"/>
      <c r="I40" s="306"/>
      <c r="J40" s="306"/>
      <c r="K40" s="306"/>
      <c r="L40" s="289"/>
      <c r="M40" s="295"/>
      <c r="N40" s="298"/>
      <c r="O40" s="293"/>
      <c r="P40" s="293"/>
      <c r="Q40" s="313"/>
      <c r="S40" s="340"/>
      <c r="T40" s="340"/>
      <c r="U40" s="340"/>
    </row>
    <row r="41" spans="1:21" ht="18" customHeight="1" thickBot="1" x14ac:dyDescent="0.3">
      <c r="A41" s="320"/>
      <c r="B41" s="304"/>
      <c r="C41" s="304"/>
      <c r="D41" s="188" t="s">
        <v>195</v>
      </c>
      <c r="E41" s="116" t="s">
        <v>114</v>
      </c>
      <c r="F41" s="135">
        <v>3</v>
      </c>
      <c r="G41" s="290"/>
      <c r="H41" s="299"/>
      <c r="I41" s="330"/>
      <c r="J41" s="330"/>
      <c r="K41" s="330"/>
      <c r="L41" s="290"/>
      <c r="M41" s="296"/>
      <c r="N41" s="299"/>
      <c r="O41" s="294"/>
      <c r="P41" s="294"/>
      <c r="Q41" s="314"/>
      <c r="S41" s="340"/>
      <c r="T41" s="340"/>
      <c r="U41" s="340"/>
    </row>
    <row r="42" spans="1:21" ht="15.75" customHeight="1" x14ac:dyDescent="0.25">
      <c r="A42" s="300" t="s">
        <v>36</v>
      </c>
      <c r="B42" s="329" t="s">
        <v>37</v>
      </c>
      <c r="C42" s="329" t="s">
        <v>26</v>
      </c>
      <c r="D42" s="186" t="s">
        <v>39</v>
      </c>
      <c r="E42" s="142" t="s">
        <v>113</v>
      </c>
      <c r="F42" s="161">
        <v>0</v>
      </c>
      <c r="G42" s="291">
        <f>SUM(F42:F44)/3</f>
        <v>0</v>
      </c>
      <c r="H42" s="297">
        <f>SUM(G42 +3)</f>
        <v>3</v>
      </c>
      <c r="I42" s="305">
        <f>SUM(F45)</f>
        <v>4</v>
      </c>
      <c r="J42" s="305">
        <f>SUM(F45)</f>
        <v>4</v>
      </c>
      <c r="K42" s="305"/>
      <c r="L42" s="291">
        <f>SUM(I42-G42)</f>
        <v>4</v>
      </c>
      <c r="M42" s="344"/>
      <c r="N42" s="297">
        <f>SUM(I42+J42)/2</f>
        <v>4</v>
      </c>
      <c r="O42" s="292">
        <v>100</v>
      </c>
      <c r="P42" s="292" t="s">
        <v>140</v>
      </c>
      <c r="Q42" s="312">
        <f>SUM(((50*100)/100)+((50*100)/100))</f>
        <v>100</v>
      </c>
      <c r="S42" s="340"/>
      <c r="T42" s="340"/>
      <c r="U42" s="340"/>
    </row>
    <row r="43" spans="1:21" x14ac:dyDescent="0.25">
      <c r="A43" s="301"/>
      <c r="B43" s="303"/>
      <c r="C43" s="303"/>
      <c r="D43" s="11" t="s">
        <v>40</v>
      </c>
      <c r="E43" s="8" t="s">
        <v>113</v>
      </c>
      <c r="F43" s="9">
        <v>0</v>
      </c>
      <c r="G43" s="289"/>
      <c r="H43" s="298"/>
      <c r="I43" s="306"/>
      <c r="J43" s="306"/>
      <c r="K43" s="306"/>
      <c r="L43" s="289"/>
      <c r="M43" s="295"/>
      <c r="N43" s="298"/>
      <c r="O43" s="293"/>
      <c r="P43" s="293"/>
      <c r="Q43" s="313"/>
      <c r="S43" s="340"/>
      <c r="T43" s="340"/>
      <c r="U43" s="340"/>
    </row>
    <row r="44" spans="1:21" x14ac:dyDescent="0.25">
      <c r="A44" s="301"/>
      <c r="B44" s="303"/>
      <c r="C44" s="303"/>
      <c r="D44" s="11" t="s">
        <v>41</v>
      </c>
      <c r="E44" s="8" t="s">
        <v>113</v>
      </c>
      <c r="F44" s="9">
        <v>0</v>
      </c>
      <c r="G44" s="289"/>
      <c r="H44" s="298"/>
      <c r="I44" s="306"/>
      <c r="J44" s="306"/>
      <c r="K44" s="306"/>
      <c r="L44" s="289"/>
      <c r="M44" s="295"/>
      <c r="N44" s="298"/>
      <c r="O44" s="293"/>
      <c r="P44" s="293"/>
      <c r="Q44" s="313"/>
      <c r="S44" s="340"/>
      <c r="T44" s="340"/>
      <c r="U44" s="340"/>
    </row>
    <row r="45" spans="1:21" x14ac:dyDescent="0.25">
      <c r="A45" s="301"/>
      <c r="B45" s="303"/>
      <c r="C45" s="303"/>
      <c r="D45" s="11" t="s">
        <v>38</v>
      </c>
      <c r="E45" s="8" t="s">
        <v>113</v>
      </c>
      <c r="F45" s="9">
        <v>4</v>
      </c>
      <c r="G45" s="289"/>
      <c r="H45" s="298"/>
      <c r="I45" s="306"/>
      <c r="J45" s="306"/>
      <c r="K45" s="306"/>
      <c r="L45" s="289"/>
      <c r="M45" s="295"/>
      <c r="N45" s="298"/>
      <c r="O45" s="293"/>
      <c r="P45" s="293"/>
      <c r="Q45" s="313"/>
    </row>
    <row r="46" spans="1:21" x14ac:dyDescent="0.25">
      <c r="A46" s="301"/>
      <c r="B46" s="303"/>
      <c r="C46" s="303"/>
      <c r="D46" s="11" t="s">
        <v>196</v>
      </c>
      <c r="E46" s="8" t="s">
        <v>113</v>
      </c>
      <c r="F46" s="9">
        <v>4</v>
      </c>
      <c r="G46" s="289"/>
      <c r="H46" s="298"/>
      <c r="I46" s="306"/>
      <c r="J46" s="306"/>
      <c r="K46" s="306"/>
      <c r="L46" s="289"/>
      <c r="M46" s="295"/>
      <c r="N46" s="298"/>
      <c r="O46" s="293"/>
      <c r="P46" s="293"/>
      <c r="Q46" s="313"/>
    </row>
    <row r="47" spans="1:21" ht="27.75" customHeight="1" x14ac:dyDescent="0.25">
      <c r="A47" s="301"/>
      <c r="B47" s="303" t="s">
        <v>42</v>
      </c>
      <c r="C47" s="303" t="s">
        <v>18</v>
      </c>
      <c r="D47" s="5" t="s">
        <v>43</v>
      </c>
      <c r="E47" s="8" t="s">
        <v>113</v>
      </c>
      <c r="F47" s="9">
        <v>0</v>
      </c>
      <c r="G47" s="289">
        <f>SUM(F47:F49)/3</f>
        <v>0</v>
      </c>
      <c r="H47" s="298">
        <f>SUM(G47 +(2*G47/100))</f>
        <v>0</v>
      </c>
      <c r="I47" s="306">
        <f>SUM(F50)</f>
        <v>25</v>
      </c>
      <c r="J47" s="306">
        <v>50</v>
      </c>
      <c r="K47" s="306"/>
      <c r="L47" s="289">
        <f>SUM(J47-G47)</f>
        <v>50</v>
      </c>
      <c r="M47" s="289"/>
      <c r="N47" s="298">
        <f>SUM(I47+J47)/2</f>
        <v>37.5</v>
      </c>
      <c r="O47" s="293">
        <v>100</v>
      </c>
      <c r="P47" s="293" t="s">
        <v>140</v>
      </c>
      <c r="Q47" s="313"/>
      <c r="S47" s="340" t="s">
        <v>238</v>
      </c>
      <c r="T47" s="340"/>
      <c r="U47" s="340"/>
    </row>
    <row r="48" spans="1:21" ht="30.75" customHeight="1" x14ac:dyDescent="0.25">
      <c r="A48" s="301"/>
      <c r="B48" s="303"/>
      <c r="C48" s="303"/>
      <c r="D48" s="5" t="s">
        <v>44</v>
      </c>
      <c r="E48" s="8" t="s">
        <v>113</v>
      </c>
      <c r="F48" s="9">
        <v>0</v>
      </c>
      <c r="G48" s="289"/>
      <c r="H48" s="298"/>
      <c r="I48" s="306"/>
      <c r="J48" s="306"/>
      <c r="K48" s="306"/>
      <c r="L48" s="289"/>
      <c r="M48" s="289"/>
      <c r="N48" s="298"/>
      <c r="O48" s="293"/>
      <c r="P48" s="293"/>
      <c r="Q48" s="313"/>
      <c r="S48" s="340"/>
      <c r="T48" s="340"/>
      <c r="U48" s="340"/>
    </row>
    <row r="49" spans="1:21" ht="32.25" customHeight="1" x14ac:dyDescent="0.25">
      <c r="A49" s="301"/>
      <c r="B49" s="303"/>
      <c r="C49" s="303"/>
      <c r="D49" s="5" t="s">
        <v>45</v>
      </c>
      <c r="E49" s="8" t="s">
        <v>113</v>
      </c>
      <c r="F49" s="9">
        <v>0</v>
      </c>
      <c r="G49" s="289"/>
      <c r="H49" s="298"/>
      <c r="I49" s="306"/>
      <c r="J49" s="306"/>
      <c r="K49" s="306"/>
      <c r="L49" s="289"/>
      <c r="M49" s="289"/>
      <c r="N49" s="298"/>
      <c r="O49" s="293"/>
      <c r="P49" s="293"/>
      <c r="Q49" s="313"/>
      <c r="S49" s="340"/>
      <c r="T49" s="340"/>
      <c r="U49" s="340"/>
    </row>
    <row r="50" spans="1:21" ht="31.5" customHeight="1" x14ac:dyDescent="0.25">
      <c r="A50" s="301"/>
      <c r="B50" s="303"/>
      <c r="C50" s="303"/>
      <c r="D50" s="5" t="s">
        <v>257</v>
      </c>
      <c r="E50" s="8" t="s">
        <v>113</v>
      </c>
      <c r="F50" s="9">
        <f>100/4</f>
        <v>25</v>
      </c>
      <c r="G50" s="289"/>
      <c r="H50" s="298"/>
      <c r="I50" s="306"/>
      <c r="J50" s="306"/>
      <c r="K50" s="306"/>
      <c r="L50" s="289"/>
      <c r="M50" s="289"/>
      <c r="N50" s="298"/>
      <c r="O50" s="293"/>
      <c r="P50" s="293"/>
      <c r="Q50" s="313"/>
      <c r="S50" s="340"/>
      <c r="T50" s="340"/>
      <c r="U50" s="340"/>
    </row>
    <row r="51" spans="1:21" ht="33" customHeight="1" thickBot="1" x14ac:dyDescent="0.3">
      <c r="A51" s="302"/>
      <c r="B51" s="304"/>
      <c r="C51" s="304"/>
      <c r="D51" s="148" t="s">
        <v>258</v>
      </c>
      <c r="E51" s="116" t="s">
        <v>113</v>
      </c>
      <c r="F51" s="135">
        <f>200/4</f>
        <v>50</v>
      </c>
      <c r="G51" s="290"/>
      <c r="H51" s="299"/>
      <c r="I51" s="330"/>
      <c r="J51" s="330"/>
      <c r="K51" s="330"/>
      <c r="L51" s="290"/>
      <c r="M51" s="290"/>
      <c r="N51" s="299"/>
      <c r="O51" s="294"/>
      <c r="P51" s="294"/>
      <c r="Q51" s="314"/>
    </row>
    <row r="52" spans="1:21" ht="48.75" customHeight="1" x14ac:dyDescent="0.25">
      <c r="A52" s="227" t="s">
        <v>198</v>
      </c>
      <c r="B52" s="217" t="s">
        <v>199</v>
      </c>
      <c r="C52" s="217" t="s">
        <v>200</v>
      </c>
      <c r="D52" s="176" t="s">
        <v>201</v>
      </c>
      <c r="E52" s="114"/>
      <c r="F52" s="177">
        <v>0</v>
      </c>
      <c r="G52" s="238"/>
      <c r="H52" s="234">
        <v>0</v>
      </c>
      <c r="I52" s="232">
        <v>0</v>
      </c>
      <c r="J52" s="232">
        <v>0</v>
      </c>
      <c r="K52" s="232"/>
      <c r="L52" s="238"/>
      <c r="M52" s="238"/>
      <c r="N52" s="234">
        <v>0</v>
      </c>
      <c r="O52" s="243">
        <v>0</v>
      </c>
      <c r="P52" s="243" t="s">
        <v>138</v>
      </c>
      <c r="Q52" s="342">
        <v>0</v>
      </c>
    </row>
    <row r="53" spans="1:21" ht="40.5" customHeight="1" thickBot="1" x14ac:dyDescent="0.3">
      <c r="A53" s="284"/>
      <c r="B53" s="218"/>
      <c r="C53" s="218"/>
      <c r="D53" s="23" t="s">
        <v>202</v>
      </c>
      <c r="E53" s="22"/>
      <c r="F53" s="89">
        <v>0</v>
      </c>
      <c r="G53" s="286"/>
      <c r="H53" s="288"/>
      <c r="I53" s="287"/>
      <c r="J53" s="287"/>
      <c r="K53" s="241"/>
      <c r="L53" s="286"/>
      <c r="M53" s="286"/>
      <c r="N53" s="263"/>
      <c r="O53" s="285"/>
      <c r="P53" s="285"/>
      <c r="Q53" s="343"/>
    </row>
    <row r="54" spans="1:21" ht="37.5" hidden="1" customHeight="1" thickTop="1" x14ac:dyDescent="0.3">
      <c r="A54" s="28" t="s">
        <v>48</v>
      </c>
      <c r="B54" s="26" t="s">
        <v>49</v>
      </c>
      <c r="C54" s="26" t="s">
        <v>8</v>
      </c>
      <c r="D54" s="24" t="s">
        <v>50</v>
      </c>
      <c r="E54" s="21" t="s">
        <v>115</v>
      </c>
      <c r="F54" s="34">
        <v>58964422.880000003</v>
      </c>
      <c r="G54" s="36"/>
      <c r="H54" s="103"/>
      <c r="I54" s="72"/>
      <c r="J54" s="72"/>
      <c r="K54" s="241"/>
      <c r="L54" s="36"/>
      <c r="M54" s="37"/>
      <c r="N54" s="110"/>
      <c r="O54" s="54"/>
      <c r="P54" s="65"/>
      <c r="Q54" s="55"/>
    </row>
    <row r="55" spans="1:21" ht="16.5" hidden="1" thickTop="1" thickBot="1" x14ac:dyDescent="0.3">
      <c r="A55" s="29"/>
      <c r="B55" s="27"/>
      <c r="C55" s="27"/>
      <c r="D55" s="5" t="s">
        <v>51</v>
      </c>
      <c r="E55" s="8" t="s">
        <v>115</v>
      </c>
      <c r="F55" s="35">
        <v>35758230.350000001</v>
      </c>
      <c r="G55" s="32"/>
      <c r="H55" s="104"/>
      <c r="I55" s="73"/>
      <c r="J55" s="73"/>
      <c r="K55" s="241"/>
      <c r="L55" s="32"/>
      <c r="M55" s="33"/>
      <c r="N55" s="111"/>
      <c r="O55" s="56"/>
      <c r="P55" s="66"/>
      <c r="Q55" s="57"/>
    </row>
    <row r="56" spans="1:21" ht="13.5" hidden="1" customHeight="1" x14ac:dyDescent="0.3">
      <c r="A56" s="199"/>
      <c r="B56" s="178"/>
      <c r="C56" s="178"/>
      <c r="D56" s="148" t="s">
        <v>52</v>
      </c>
      <c r="E56" s="116" t="s">
        <v>115</v>
      </c>
      <c r="F56" s="145">
        <v>24871772.440000001</v>
      </c>
      <c r="G56" s="179"/>
      <c r="H56" s="180"/>
      <c r="I56" s="181"/>
      <c r="J56" s="181"/>
      <c r="K56" s="233"/>
      <c r="L56" s="179"/>
      <c r="M56" s="182"/>
      <c r="N56" s="183"/>
      <c r="O56" s="184"/>
      <c r="P56" s="185"/>
      <c r="Q56" s="200"/>
    </row>
    <row r="57" spans="1:21" ht="13.5" hidden="1" customHeight="1" x14ac:dyDescent="0.3">
      <c r="A57" s="152"/>
      <c r="B57" s="94"/>
      <c r="C57" s="94"/>
      <c r="D57" s="49" t="s">
        <v>54</v>
      </c>
      <c r="E57" s="50" t="s">
        <v>115</v>
      </c>
      <c r="F57" s="51">
        <v>13023614.550000001</v>
      </c>
      <c r="G57" s="32"/>
      <c r="H57" s="104"/>
      <c r="I57" s="73"/>
      <c r="J57" s="73"/>
      <c r="K57" s="73"/>
      <c r="L57" s="32"/>
      <c r="M57" s="33"/>
      <c r="N57" s="111"/>
      <c r="O57" s="56"/>
      <c r="P57" s="66"/>
      <c r="Q57" s="57"/>
    </row>
    <row r="58" spans="1:21" ht="12" hidden="1" customHeight="1" x14ac:dyDescent="0.3">
      <c r="A58" s="38"/>
      <c r="B58" s="39"/>
      <c r="C58" s="39"/>
      <c r="D58" s="43" t="s">
        <v>224</v>
      </c>
      <c r="E58" s="69" t="s">
        <v>115</v>
      </c>
      <c r="F58" s="86">
        <v>24148047.98</v>
      </c>
      <c r="G58" s="32"/>
      <c r="H58" s="104"/>
      <c r="I58" s="73"/>
      <c r="J58" s="73"/>
      <c r="K58" s="73"/>
      <c r="L58" s="32"/>
      <c r="M58" s="33"/>
      <c r="N58" s="111"/>
      <c r="O58" s="56"/>
      <c r="P58" s="66"/>
      <c r="Q58" s="57"/>
    </row>
    <row r="59" spans="1:21" ht="29.25" customHeight="1" thickTop="1" x14ac:dyDescent="0.25">
      <c r="A59" s="227" t="s">
        <v>48</v>
      </c>
      <c r="B59" s="217" t="s">
        <v>49</v>
      </c>
      <c r="C59" s="217" t="s">
        <v>8</v>
      </c>
      <c r="D59" s="130" t="s">
        <v>156</v>
      </c>
      <c r="E59" s="131" t="s">
        <v>170</v>
      </c>
      <c r="F59" s="174">
        <f>42867829.84/58964422.88</f>
        <v>0.72701177669866146</v>
      </c>
      <c r="G59" s="238">
        <f>SUM(F59:F61)/3</f>
        <v>0.52185345346538603</v>
      </c>
      <c r="H59" s="234">
        <f>SUM(G59 +(1*G59/100))</f>
        <v>0.52707198800003985</v>
      </c>
      <c r="I59" s="232">
        <v>0.08</v>
      </c>
      <c r="J59" s="232">
        <f>SUM(F63)</f>
        <v>9.693230906028702E-2</v>
      </c>
      <c r="K59" s="232"/>
      <c r="L59" s="238">
        <f>SUM(J59-G59)</f>
        <v>-0.42492114440509898</v>
      </c>
      <c r="M59" s="253"/>
      <c r="N59" s="234">
        <f>SUM(I59+J59/2)</f>
        <v>0.12846615453014351</v>
      </c>
      <c r="O59" s="236">
        <f>SUM(100*N59)/H59</f>
        <v>24.373549999802645</v>
      </c>
      <c r="P59" s="224" t="s">
        <v>138</v>
      </c>
      <c r="Q59" s="211">
        <f>SUM(O59)</f>
        <v>24.373549999802645</v>
      </c>
    </row>
    <row r="60" spans="1:21" ht="28.5" customHeight="1" x14ac:dyDescent="0.25">
      <c r="A60" s="240"/>
      <c r="B60" s="257"/>
      <c r="C60" s="257"/>
      <c r="D60" s="12" t="s">
        <v>157</v>
      </c>
      <c r="E60" s="52" t="s">
        <v>171</v>
      </c>
      <c r="F60" s="42">
        <f>23506453.48/35758230.35</f>
        <v>0.65737183439783953</v>
      </c>
      <c r="G60" s="262"/>
      <c r="H60" s="263"/>
      <c r="I60" s="241"/>
      <c r="J60" s="241"/>
      <c r="K60" s="241"/>
      <c r="L60" s="262"/>
      <c r="M60" s="334"/>
      <c r="N60" s="263"/>
      <c r="O60" s="335"/>
      <c r="P60" s="261"/>
      <c r="Q60" s="341"/>
    </row>
    <row r="61" spans="1:21" ht="33" customHeight="1" x14ac:dyDescent="0.25">
      <c r="A61" s="240"/>
      <c r="B61" s="257"/>
      <c r="C61" s="257"/>
      <c r="D61" s="12" t="s">
        <v>158</v>
      </c>
      <c r="E61" s="52" t="s">
        <v>155</v>
      </c>
      <c r="F61" s="42">
        <f>4506186.88/24871772.44</f>
        <v>0.18117674929965705</v>
      </c>
      <c r="G61" s="262"/>
      <c r="H61" s="263"/>
      <c r="I61" s="241"/>
      <c r="J61" s="241"/>
      <c r="K61" s="241"/>
      <c r="L61" s="262"/>
      <c r="M61" s="334"/>
      <c r="N61" s="263"/>
      <c r="O61" s="335"/>
      <c r="P61" s="261"/>
      <c r="Q61" s="341"/>
    </row>
    <row r="62" spans="1:21" ht="29.25" customHeight="1" x14ac:dyDescent="0.25">
      <c r="A62" s="240"/>
      <c r="B62" s="257"/>
      <c r="C62" s="257"/>
      <c r="D62" s="12" t="s">
        <v>159</v>
      </c>
      <c r="E62" s="53" t="s">
        <v>172</v>
      </c>
      <c r="F62" s="71">
        <f>1085224.32/13023614.55</f>
        <v>8.3327429250430324E-2</v>
      </c>
      <c r="G62" s="262"/>
      <c r="H62" s="263"/>
      <c r="I62" s="241"/>
      <c r="J62" s="241"/>
      <c r="K62" s="241"/>
      <c r="L62" s="262"/>
      <c r="M62" s="334"/>
      <c r="N62" s="263"/>
      <c r="O62" s="335"/>
      <c r="P62" s="261"/>
      <c r="Q62" s="341"/>
    </row>
    <row r="63" spans="1:21" ht="29.25" customHeight="1" thickBot="1" x14ac:dyDescent="0.3">
      <c r="A63" s="228"/>
      <c r="B63" s="226"/>
      <c r="C63" s="226"/>
      <c r="D63" s="144" t="s">
        <v>197</v>
      </c>
      <c r="E63" s="163" t="s">
        <v>225</v>
      </c>
      <c r="F63" s="175">
        <f>SUM(2340726.05/24148047.98)</f>
        <v>9.693230906028702E-2</v>
      </c>
      <c r="G63" s="239"/>
      <c r="H63" s="235"/>
      <c r="I63" s="233"/>
      <c r="J63" s="233"/>
      <c r="K63" s="233"/>
      <c r="L63" s="239"/>
      <c r="M63" s="254"/>
      <c r="N63" s="235"/>
      <c r="O63" s="237"/>
      <c r="P63" s="229"/>
      <c r="Q63" s="212"/>
    </row>
    <row r="64" spans="1:21" ht="30.75" customHeight="1" x14ac:dyDescent="0.25">
      <c r="A64" s="227" t="s">
        <v>53</v>
      </c>
      <c r="B64" s="217" t="s">
        <v>203</v>
      </c>
      <c r="C64" s="272" t="s">
        <v>8</v>
      </c>
      <c r="D64" s="168" t="s">
        <v>204</v>
      </c>
      <c r="E64" s="169" t="s">
        <v>208</v>
      </c>
      <c r="F64" s="170">
        <v>0</v>
      </c>
      <c r="G64" s="238">
        <v>0</v>
      </c>
      <c r="H64" s="234">
        <f>SUM(G64 +(1*G64/100))</f>
        <v>0</v>
      </c>
      <c r="I64" s="232">
        <v>0</v>
      </c>
      <c r="J64" s="232">
        <v>3</v>
      </c>
      <c r="K64" s="232"/>
      <c r="L64" s="238">
        <f>SUM((J64-G64))</f>
        <v>3</v>
      </c>
      <c r="M64" s="291"/>
      <c r="N64" s="234">
        <f>SUM(I64:J67)/2</f>
        <v>1.5</v>
      </c>
      <c r="O64" s="292">
        <v>100</v>
      </c>
      <c r="P64" s="243" t="s">
        <v>138</v>
      </c>
      <c r="Q64" s="312">
        <v>100</v>
      </c>
    </row>
    <row r="65" spans="1:17" ht="30" x14ac:dyDescent="0.25">
      <c r="A65" s="240"/>
      <c r="B65" s="257"/>
      <c r="C65" s="273"/>
      <c r="D65" s="76" t="s">
        <v>205</v>
      </c>
      <c r="E65" s="77" t="s">
        <v>208</v>
      </c>
      <c r="F65" s="75">
        <v>0</v>
      </c>
      <c r="G65" s="262"/>
      <c r="H65" s="263"/>
      <c r="I65" s="241"/>
      <c r="J65" s="241"/>
      <c r="K65" s="241"/>
      <c r="L65" s="262"/>
      <c r="M65" s="289"/>
      <c r="N65" s="263"/>
      <c r="O65" s="293"/>
      <c r="P65" s="244"/>
      <c r="Q65" s="313"/>
    </row>
    <row r="66" spans="1:17" ht="30" x14ac:dyDescent="0.25">
      <c r="A66" s="240"/>
      <c r="B66" s="257"/>
      <c r="C66" s="273"/>
      <c r="D66" s="76" t="s">
        <v>206</v>
      </c>
      <c r="E66" s="77" t="s">
        <v>208</v>
      </c>
      <c r="F66" s="75">
        <v>0</v>
      </c>
      <c r="G66" s="262"/>
      <c r="H66" s="263"/>
      <c r="I66" s="241"/>
      <c r="J66" s="241"/>
      <c r="K66" s="241"/>
      <c r="L66" s="262"/>
      <c r="M66" s="289"/>
      <c r="N66" s="263"/>
      <c r="O66" s="293"/>
      <c r="P66" s="244"/>
      <c r="Q66" s="313"/>
    </row>
    <row r="67" spans="1:17" ht="30.75" thickBot="1" x14ac:dyDescent="0.3">
      <c r="A67" s="228"/>
      <c r="B67" s="226"/>
      <c r="C67" s="274"/>
      <c r="D67" s="171" t="s">
        <v>207</v>
      </c>
      <c r="E67" s="172" t="s">
        <v>208</v>
      </c>
      <c r="F67" s="173">
        <v>3</v>
      </c>
      <c r="G67" s="239"/>
      <c r="H67" s="235"/>
      <c r="I67" s="233"/>
      <c r="J67" s="233"/>
      <c r="K67" s="233"/>
      <c r="L67" s="239"/>
      <c r="M67" s="290"/>
      <c r="N67" s="235"/>
      <c r="O67" s="294"/>
      <c r="P67" s="248"/>
      <c r="Q67" s="314"/>
    </row>
    <row r="68" spans="1:17" ht="30.75" customHeight="1" x14ac:dyDescent="0.25">
      <c r="A68" s="227" t="s">
        <v>55</v>
      </c>
      <c r="B68" s="217" t="s">
        <v>56</v>
      </c>
      <c r="C68" s="217" t="s">
        <v>57</v>
      </c>
      <c r="D68" s="146" t="s">
        <v>141</v>
      </c>
      <c r="E68" s="131" t="s">
        <v>177</v>
      </c>
      <c r="F68" s="162">
        <f>65/55</f>
        <v>1.1818181818181819</v>
      </c>
      <c r="G68" s="238">
        <f t="shared" ref="G68" si="0">SUM(F68:F70)/3</f>
        <v>1.1449751754836501</v>
      </c>
      <c r="H68" s="234">
        <f>SUM(G68+(3*G68/100))</f>
        <v>1.1793244307481596</v>
      </c>
      <c r="I68" s="232">
        <v>1.1100000000000001</v>
      </c>
      <c r="J68" s="232">
        <v>11.25</v>
      </c>
      <c r="K68" s="232"/>
      <c r="L68" s="291">
        <f t="shared" ref="L68" si="1">SUM(I68-G68)</f>
        <v>-3.4975175483650034E-2</v>
      </c>
      <c r="M68" s="344"/>
      <c r="N68" s="234">
        <f>SUM(I68:J72)/2</f>
        <v>6.18</v>
      </c>
      <c r="O68" s="224">
        <v>100</v>
      </c>
      <c r="P68" s="224" t="s">
        <v>138</v>
      </c>
      <c r="Q68" s="205">
        <v>100</v>
      </c>
    </row>
    <row r="69" spans="1:17" ht="30" x14ac:dyDescent="0.25">
      <c r="A69" s="240"/>
      <c r="B69" s="257"/>
      <c r="C69" s="257"/>
      <c r="D69" s="5" t="s">
        <v>142</v>
      </c>
      <c r="E69" s="52" t="s">
        <v>178</v>
      </c>
      <c r="F69" s="25">
        <f>70/59</f>
        <v>1.1864406779661016</v>
      </c>
      <c r="G69" s="262"/>
      <c r="H69" s="263"/>
      <c r="I69" s="241"/>
      <c r="J69" s="241"/>
      <c r="K69" s="241"/>
      <c r="L69" s="289"/>
      <c r="M69" s="295"/>
      <c r="N69" s="263"/>
      <c r="O69" s="261"/>
      <c r="P69" s="261"/>
      <c r="Q69" s="269"/>
    </row>
    <row r="70" spans="1:17" ht="30" x14ac:dyDescent="0.25">
      <c r="A70" s="240"/>
      <c r="B70" s="257"/>
      <c r="C70" s="257"/>
      <c r="D70" s="5" t="s">
        <v>143</v>
      </c>
      <c r="E70" s="52" t="s">
        <v>179</v>
      </c>
      <c r="F70" s="25">
        <f>80/75</f>
        <v>1.0666666666666667</v>
      </c>
      <c r="G70" s="262"/>
      <c r="H70" s="263"/>
      <c r="I70" s="241"/>
      <c r="J70" s="241"/>
      <c r="K70" s="241"/>
      <c r="L70" s="289"/>
      <c r="M70" s="295"/>
      <c r="N70" s="263"/>
      <c r="O70" s="261"/>
      <c r="P70" s="261"/>
      <c r="Q70" s="269"/>
    </row>
    <row r="71" spans="1:17" ht="30" x14ac:dyDescent="0.25">
      <c r="A71" s="240"/>
      <c r="B71" s="257"/>
      <c r="C71" s="257"/>
      <c r="D71" s="43" t="s">
        <v>144</v>
      </c>
      <c r="E71" s="53" t="s">
        <v>180</v>
      </c>
      <c r="F71" s="44">
        <f>50/45</f>
        <v>1.1111111111111112</v>
      </c>
      <c r="G71" s="262"/>
      <c r="H71" s="263"/>
      <c r="I71" s="241"/>
      <c r="J71" s="241"/>
      <c r="K71" s="241"/>
      <c r="L71" s="350"/>
      <c r="M71" s="356"/>
      <c r="N71" s="263"/>
      <c r="O71" s="261"/>
      <c r="P71" s="261"/>
      <c r="Q71" s="269"/>
    </row>
    <row r="72" spans="1:17" ht="27.75" customHeight="1" thickBot="1" x14ac:dyDescent="0.3">
      <c r="A72" s="228"/>
      <c r="B72" s="226"/>
      <c r="C72" s="226"/>
      <c r="D72" s="148" t="s">
        <v>209</v>
      </c>
      <c r="E72" s="165" t="s">
        <v>263</v>
      </c>
      <c r="F72" s="203">
        <f>45/4</f>
        <v>11.25</v>
      </c>
      <c r="G72" s="239"/>
      <c r="H72" s="235"/>
      <c r="I72" s="233"/>
      <c r="J72" s="233"/>
      <c r="K72" s="233"/>
      <c r="L72" s="166"/>
      <c r="M72" s="167"/>
      <c r="N72" s="235"/>
      <c r="O72" s="229"/>
      <c r="P72" s="229"/>
      <c r="Q72" s="206"/>
    </row>
    <row r="73" spans="1:17" ht="48.75" customHeight="1" x14ac:dyDescent="0.25">
      <c r="A73" s="227" t="s">
        <v>58</v>
      </c>
      <c r="B73" s="217" t="s">
        <v>59</v>
      </c>
      <c r="C73" s="217" t="s">
        <v>8</v>
      </c>
      <c r="D73" s="146" t="s">
        <v>160</v>
      </c>
      <c r="E73" s="131" t="s">
        <v>181</v>
      </c>
      <c r="F73" s="162">
        <f>3/6</f>
        <v>0.5</v>
      </c>
      <c r="G73" s="238">
        <f t="shared" ref="G73" si="2">SUM(F73:F75)/3</f>
        <v>0.5</v>
      </c>
      <c r="H73" s="234">
        <f>SUM(G73+(1*G73/100))</f>
        <v>0.505</v>
      </c>
      <c r="I73" s="232">
        <v>0.5</v>
      </c>
      <c r="J73" s="232">
        <f>SUM(F77)</f>
        <v>1</v>
      </c>
      <c r="K73" s="232"/>
      <c r="L73" s="238">
        <f>SUM(J73-G73)</f>
        <v>0.5</v>
      </c>
      <c r="M73" s="253"/>
      <c r="N73" s="234">
        <f>SUM(I73:J77)/2</f>
        <v>0.75</v>
      </c>
      <c r="O73" s="224">
        <v>100</v>
      </c>
      <c r="P73" s="224" t="s">
        <v>138</v>
      </c>
      <c r="Q73" s="205">
        <v>100</v>
      </c>
    </row>
    <row r="74" spans="1:17" ht="36.75" x14ac:dyDescent="0.25">
      <c r="A74" s="240"/>
      <c r="B74" s="257"/>
      <c r="C74" s="257"/>
      <c r="D74" s="5" t="s">
        <v>161</v>
      </c>
      <c r="E74" s="52" t="s">
        <v>181</v>
      </c>
      <c r="F74" s="25">
        <f>3/6</f>
        <v>0.5</v>
      </c>
      <c r="G74" s="262"/>
      <c r="H74" s="263"/>
      <c r="I74" s="241"/>
      <c r="J74" s="241"/>
      <c r="K74" s="241"/>
      <c r="L74" s="262"/>
      <c r="M74" s="334"/>
      <c r="N74" s="263"/>
      <c r="O74" s="261"/>
      <c r="P74" s="261"/>
      <c r="Q74" s="269"/>
    </row>
    <row r="75" spans="1:17" ht="36.75" x14ac:dyDescent="0.25">
      <c r="A75" s="240"/>
      <c r="B75" s="257"/>
      <c r="C75" s="257"/>
      <c r="D75" s="5" t="s">
        <v>162</v>
      </c>
      <c r="E75" s="52" t="s">
        <v>181</v>
      </c>
      <c r="F75" s="25">
        <f>3/6</f>
        <v>0.5</v>
      </c>
      <c r="G75" s="262"/>
      <c r="H75" s="263"/>
      <c r="I75" s="241"/>
      <c r="J75" s="241"/>
      <c r="K75" s="241"/>
      <c r="L75" s="262"/>
      <c r="M75" s="334"/>
      <c r="N75" s="263"/>
      <c r="O75" s="261"/>
      <c r="P75" s="261"/>
      <c r="Q75" s="269"/>
    </row>
    <row r="76" spans="1:17" ht="36.75" x14ac:dyDescent="0.25">
      <c r="A76" s="240"/>
      <c r="B76" s="257"/>
      <c r="C76" s="257"/>
      <c r="D76" s="43" t="s">
        <v>163</v>
      </c>
      <c r="E76" s="53" t="s">
        <v>181</v>
      </c>
      <c r="F76" s="44">
        <f>3/6</f>
        <v>0.5</v>
      </c>
      <c r="G76" s="262"/>
      <c r="H76" s="263"/>
      <c r="I76" s="241"/>
      <c r="J76" s="241"/>
      <c r="K76" s="241"/>
      <c r="L76" s="262"/>
      <c r="M76" s="334"/>
      <c r="N76" s="263"/>
      <c r="O76" s="261"/>
      <c r="P76" s="261"/>
      <c r="Q76" s="269"/>
    </row>
    <row r="77" spans="1:17" ht="44.25" customHeight="1" thickBot="1" x14ac:dyDescent="0.3">
      <c r="A77" s="228"/>
      <c r="B77" s="226"/>
      <c r="C77" s="226"/>
      <c r="D77" s="148" t="s">
        <v>211</v>
      </c>
      <c r="E77" s="163" t="s">
        <v>226</v>
      </c>
      <c r="F77" s="164">
        <f>SUM(4/4)</f>
        <v>1</v>
      </c>
      <c r="G77" s="239"/>
      <c r="H77" s="235"/>
      <c r="I77" s="233"/>
      <c r="J77" s="233"/>
      <c r="K77" s="233"/>
      <c r="L77" s="239"/>
      <c r="M77" s="254"/>
      <c r="N77" s="235"/>
      <c r="O77" s="229"/>
      <c r="P77" s="229"/>
      <c r="Q77" s="206"/>
    </row>
    <row r="78" spans="1:17" ht="15.75" hidden="1" thickBot="1" x14ac:dyDescent="0.3">
      <c r="A78" s="40"/>
      <c r="B78" s="41"/>
      <c r="C78" s="41"/>
      <c r="D78" s="49" t="s">
        <v>117</v>
      </c>
      <c r="E78" s="50" t="s">
        <v>115</v>
      </c>
      <c r="F78" s="79">
        <v>6</v>
      </c>
      <c r="G78" s="45"/>
      <c r="H78" s="105"/>
      <c r="I78" s="101"/>
      <c r="J78" s="45"/>
      <c r="K78" s="45"/>
      <c r="L78" s="45"/>
      <c r="M78" s="45"/>
      <c r="N78" s="105"/>
      <c r="O78" s="58"/>
      <c r="P78" s="67"/>
      <c r="Q78" s="59"/>
    </row>
    <row r="79" spans="1:17" ht="15.75" hidden="1" thickBot="1" x14ac:dyDescent="0.3">
      <c r="A79" s="29"/>
      <c r="B79" s="27"/>
      <c r="C79" s="27"/>
      <c r="D79" s="5" t="s">
        <v>118</v>
      </c>
      <c r="E79" s="8" t="s">
        <v>115</v>
      </c>
      <c r="F79" s="25">
        <v>6</v>
      </c>
      <c r="G79" s="13"/>
      <c r="H79" s="106"/>
      <c r="I79" s="46"/>
      <c r="J79" s="13"/>
      <c r="K79" s="13"/>
      <c r="L79" s="13"/>
      <c r="M79" s="13"/>
      <c r="N79" s="106"/>
      <c r="O79" s="60"/>
      <c r="P79" s="68"/>
      <c r="Q79" s="61"/>
    </row>
    <row r="80" spans="1:17" ht="15.75" hidden="1" thickBot="1" x14ac:dyDescent="0.3">
      <c r="A80" s="29"/>
      <c r="B80" s="27"/>
      <c r="C80" s="27"/>
      <c r="D80" s="5" t="s">
        <v>119</v>
      </c>
      <c r="E80" s="8" t="s">
        <v>115</v>
      </c>
      <c r="F80" s="25">
        <v>6</v>
      </c>
      <c r="G80" s="13"/>
      <c r="H80" s="106"/>
      <c r="I80" s="46"/>
      <c r="J80" s="13"/>
      <c r="K80" s="13"/>
      <c r="L80" s="13"/>
      <c r="M80" s="13"/>
      <c r="N80" s="106"/>
      <c r="O80" s="60"/>
      <c r="P80" s="68"/>
      <c r="Q80" s="61"/>
    </row>
    <row r="81" spans="1:17" ht="15.75" hidden="1" thickBot="1" x14ac:dyDescent="0.3">
      <c r="A81" s="38"/>
      <c r="B81" s="39"/>
      <c r="C81" s="39"/>
      <c r="D81" s="43" t="s">
        <v>120</v>
      </c>
      <c r="E81" s="69" t="s">
        <v>115</v>
      </c>
      <c r="F81" s="44">
        <v>6</v>
      </c>
      <c r="G81" s="80"/>
      <c r="H81" s="107"/>
      <c r="I81" s="84"/>
      <c r="J81" s="80"/>
      <c r="K81" s="80"/>
      <c r="L81" s="80"/>
      <c r="M81" s="80"/>
      <c r="N81" s="107"/>
      <c r="O81" s="81"/>
      <c r="P81" s="82"/>
      <c r="Q81" s="83"/>
    </row>
    <row r="82" spans="1:17" ht="15.75" hidden="1" thickBot="1" x14ac:dyDescent="0.3">
      <c r="A82" s="152"/>
      <c r="B82" s="94"/>
      <c r="C82" s="94"/>
      <c r="D82" s="153" t="s">
        <v>210</v>
      </c>
      <c r="E82" s="154" t="s">
        <v>115</v>
      </c>
      <c r="F82" s="155">
        <v>4</v>
      </c>
      <c r="G82" s="78"/>
      <c r="H82" s="156"/>
      <c r="I82" s="157"/>
      <c r="J82" s="78"/>
      <c r="K82" s="78"/>
      <c r="L82" s="78"/>
      <c r="M82" s="78"/>
      <c r="N82" s="156"/>
      <c r="O82" s="158"/>
      <c r="P82" s="159"/>
      <c r="Q82" s="160"/>
    </row>
    <row r="83" spans="1:17" ht="15.75" customHeight="1" x14ac:dyDescent="0.25">
      <c r="A83" s="227" t="s">
        <v>60</v>
      </c>
      <c r="B83" s="217" t="s">
        <v>61</v>
      </c>
      <c r="C83" s="217" t="s">
        <v>8</v>
      </c>
      <c r="D83" s="146" t="s">
        <v>62</v>
      </c>
      <c r="E83" s="142" t="s">
        <v>116</v>
      </c>
      <c r="F83" s="161">
        <v>0</v>
      </c>
      <c r="G83" s="278">
        <f>SUM(F83:F85)/3</f>
        <v>0.66666666666666663</v>
      </c>
      <c r="H83" s="281">
        <f>SUM(G83+(1*G83/100))</f>
        <v>0.67333333333333334</v>
      </c>
      <c r="I83" s="232">
        <v>0</v>
      </c>
      <c r="J83" s="232">
        <v>1</v>
      </c>
      <c r="K83" s="232"/>
      <c r="L83" s="275"/>
      <c r="M83" s="291"/>
      <c r="N83" s="234">
        <v>1</v>
      </c>
      <c r="O83" s="266">
        <v>100</v>
      </c>
      <c r="P83" s="243" t="s">
        <v>138</v>
      </c>
      <c r="Q83" s="270">
        <v>100</v>
      </c>
    </row>
    <row r="84" spans="1:17" x14ac:dyDescent="0.25">
      <c r="A84" s="240"/>
      <c r="B84" s="257"/>
      <c r="C84" s="257"/>
      <c r="D84" s="5" t="s">
        <v>63</v>
      </c>
      <c r="E84" s="8" t="s">
        <v>116</v>
      </c>
      <c r="F84" s="9">
        <v>1</v>
      </c>
      <c r="G84" s="279"/>
      <c r="H84" s="282"/>
      <c r="I84" s="241"/>
      <c r="J84" s="241"/>
      <c r="K84" s="241"/>
      <c r="L84" s="276"/>
      <c r="M84" s="289"/>
      <c r="N84" s="263"/>
      <c r="O84" s="267"/>
      <c r="P84" s="244"/>
      <c r="Q84" s="269"/>
    </row>
    <row r="85" spans="1:17" x14ac:dyDescent="0.25">
      <c r="A85" s="240"/>
      <c r="B85" s="257"/>
      <c r="C85" s="257"/>
      <c r="D85" s="5" t="s">
        <v>64</v>
      </c>
      <c r="E85" s="8" t="s">
        <v>116</v>
      </c>
      <c r="F85" s="9">
        <v>1</v>
      </c>
      <c r="G85" s="279"/>
      <c r="H85" s="282"/>
      <c r="I85" s="241"/>
      <c r="J85" s="241"/>
      <c r="K85" s="241"/>
      <c r="L85" s="276"/>
      <c r="M85" s="289"/>
      <c r="N85" s="263"/>
      <c r="O85" s="267"/>
      <c r="P85" s="244"/>
      <c r="Q85" s="269"/>
    </row>
    <row r="86" spans="1:17" x14ac:dyDescent="0.25">
      <c r="A86" s="240"/>
      <c r="B86" s="257"/>
      <c r="C86" s="257"/>
      <c r="D86" s="43" t="s">
        <v>65</v>
      </c>
      <c r="E86" s="69" t="s">
        <v>116</v>
      </c>
      <c r="F86" s="70">
        <v>0</v>
      </c>
      <c r="G86" s="279"/>
      <c r="H86" s="282"/>
      <c r="I86" s="241"/>
      <c r="J86" s="241"/>
      <c r="K86" s="241"/>
      <c r="L86" s="276"/>
      <c r="M86" s="350"/>
      <c r="N86" s="263"/>
      <c r="O86" s="267"/>
      <c r="P86" s="244"/>
      <c r="Q86" s="269"/>
    </row>
    <row r="87" spans="1:17" ht="15.75" thickBot="1" x14ac:dyDescent="0.3">
      <c r="A87" s="228"/>
      <c r="B87" s="226"/>
      <c r="C87" s="226"/>
      <c r="D87" s="148" t="s">
        <v>212</v>
      </c>
      <c r="E87" s="116" t="s">
        <v>116</v>
      </c>
      <c r="F87" s="135">
        <v>1</v>
      </c>
      <c r="G87" s="280"/>
      <c r="H87" s="283"/>
      <c r="I87" s="233"/>
      <c r="J87" s="233"/>
      <c r="K87" s="233"/>
      <c r="L87" s="277"/>
      <c r="M87" s="122"/>
      <c r="N87" s="235"/>
      <c r="O87" s="268"/>
      <c r="P87" s="248"/>
      <c r="Q87" s="206"/>
    </row>
    <row r="88" spans="1:17" ht="46.5" customHeight="1" x14ac:dyDescent="0.25">
      <c r="A88" s="227" t="s">
        <v>66</v>
      </c>
      <c r="B88" s="217" t="s">
        <v>67</v>
      </c>
      <c r="C88" s="264" t="s">
        <v>68</v>
      </c>
      <c r="D88" s="150" t="s">
        <v>69</v>
      </c>
      <c r="E88" s="118" t="s">
        <v>154</v>
      </c>
      <c r="F88" s="126">
        <v>1</v>
      </c>
      <c r="G88" s="253"/>
      <c r="H88" s="234">
        <v>2</v>
      </c>
      <c r="I88" s="232">
        <v>1</v>
      </c>
      <c r="J88" s="232">
        <v>1</v>
      </c>
      <c r="K88" s="232"/>
      <c r="L88" s="253"/>
      <c r="M88" s="253"/>
      <c r="N88" s="234">
        <v>2</v>
      </c>
      <c r="O88" s="243">
        <v>100</v>
      </c>
      <c r="P88" s="243" t="s">
        <v>138</v>
      </c>
      <c r="Q88" s="205">
        <v>100</v>
      </c>
    </row>
    <row r="89" spans="1:17" ht="33" customHeight="1" thickBot="1" x14ac:dyDescent="0.3">
      <c r="A89" s="228"/>
      <c r="B89" s="226"/>
      <c r="C89" s="265"/>
      <c r="D89" s="151" t="s">
        <v>213</v>
      </c>
      <c r="E89" s="128" t="s">
        <v>154</v>
      </c>
      <c r="F89" s="115">
        <v>1</v>
      </c>
      <c r="G89" s="254"/>
      <c r="H89" s="235"/>
      <c r="I89" s="233"/>
      <c r="J89" s="233"/>
      <c r="K89" s="233"/>
      <c r="L89" s="254"/>
      <c r="M89" s="254"/>
      <c r="N89" s="235"/>
      <c r="O89" s="248"/>
      <c r="P89" s="248"/>
      <c r="Q89" s="206"/>
    </row>
    <row r="90" spans="1:17" ht="15.75" customHeight="1" x14ac:dyDescent="0.25">
      <c r="A90" s="227" t="s">
        <v>70</v>
      </c>
      <c r="B90" s="264" t="s">
        <v>71</v>
      </c>
      <c r="C90" s="264" t="s">
        <v>72</v>
      </c>
      <c r="D90" s="146" t="s">
        <v>249</v>
      </c>
      <c r="E90" s="142" t="s">
        <v>164</v>
      </c>
      <c r="F90" s="147">
        <f>41028305.42/49529238.82</f>
        <v>0.82836535342498929</v>
      </c>
      <c r="G90" s="258">
        <f>SUM(F90:F92)/3</f>
        <v>0.7437831177538845</v>
      </c>
      <c r="H90" s="337">
        <f>SUM(G90-(1*G90/100))</f>
        <v>0.73634528657634568</v>
      </c>
      <c r="I90" s="258">
        <v>0.79</v>
      </c>
      <c r="J90" s="258">
        <v>0.83</v>
      </c>
      <c r="K90" s="232"/>
      <c r="L90" s="238"/>
      <c r="M90" s="238"/>
      <c r="N90" s="337">
        <f>SUM(I90:J94)/2</f>
        <v>0.81</v>
      </c>
      <c r="O90" s="243">
        <v>100</v>
      </c>
      <c r="P90" s="243" t="s">
        <v>138</v>
      </c>
      <c r="Q90" s="205">
        <v>100</v>
      </c>
    </row>
    <row r="91" spans="1:17" x14ac:dyDescent="0.25">
      <c r="A91" s="240"/>
      <c r="B91" s="271"/>
      <c r="C91" s="271"/>
      <c r="D91" s="5" t="s">
        <v>250</v>
      </c>
      <c r="E91" s="8" t="s">
        <v>164</v>
      </c>
      <c r="F91" s="95">
        <f>46714110.83/62273374.51</f>
        <v>0.75014580786044516</v>
      </c>
      <c r="G91" s="259"/>
      <c r="H91" s="338"/>
      <c r="I91" s="259"/>
      <c r="J91" s="259"/>
      <c r="K91" s="241"/>
      <c r="L91" s="262"/>
      <c r="M91" s="262"/>
      <c r="N91" s="338"/>
      <c r="O91" s="244"/>
      <c r="P91" s="244"/>
      <c r="Q91" s="269"/>
    </row>
    <row r="92" spans="1:17" x14ac:dyDescent="0.25">
      <c r="A92" s="240"/>
      <c r="B92" s="271"/>
      <c r="C92" s="271"/>
      <c r="D92" s="5" t="s">
        <v>251</v>
      </c>
      <c r="E92" s="8" t="s">
        <v>164</v>
      </c>
      <c r="F92" s="95">
        <f>42003980.58/64340568.76</f>
        <v>0.65283819197621906</v>
      </c>
      <c r="G92" s="259"/>
      <c r="H92" s="338"/>
      <c r="I92" s="259"/>
      <c r="J92" s="259"/>
      <c r="K92" s="241"/>
      <c r="L92" s="262"/>
      <c r="M92" s="262"/>
      <c r="N92" s="338"/>
      <c r="O92" s="244"/>
      <c r="P92" s="244"/>
      <c r="Q92" s="269"/>
    </row>
    <row r="93" spans="1:17" x14ac:dyDescent="0.25">
      <c r="A93" s="240"/>
      <c r="B93" s="271"/>
      <c r="C93" s="271"/>
      <c r="D93" s="43" t="s">
        <v>252</v>
      </c>
      <c r="E93" s="69" t="s">
        <v>164</v>
      </c>
      <c r="F93" s="96">
        <f>39499676.29/50223886.3</f>
        <v>0.78647192003538768</v>
      </c>
      <c r="G93" s="259"/>
      <c r="H93" s="338"/>
      <c r="I93" s="259"/>
      <c r="J93" s="259"/>
      <c r="K93" s="241"/>
      <c r="L93" s="262"/>
      <c r="M93" s="262"/>
      <c r="N93" s="338"/>
      <c r="O93" s="244"/>
      <c r="P93" s="244"/>
      <c r="Q93" s="269"/>
    </row>
    <row r="94" spans="1:17" ht="15.75" thickBot="1" x14ac:dyDescent="0.3">
      <c r="A94" s="228"/>
      <c r="B94" s="265"/>
      <c r="C94" s="265"/>
      <c r="D94" s="148" t="s">
        <v>253</v>
      </c>
      <c r="E94" s="116" t="s">
        <v>164</v>
      </c>
      <c r="F94" s="149">
        <f>44061479.94/53315862.51</f>
        <v>0.8264234669698115</v>
      </c>
      <c r="G94" s="260"/>
      <c r="H94" s="339"/>
      <c r="I94" s="260"/>
      <c r="J94" s="260"/>
      <c r="K94" s="233"/>
      <c r="L94" s="239"/>
      <c r="M94" s="239"/>
      <c r="N94" s="339"/>
      <c r="O94" s="248"/>
      <c r="P94" s="248"/>
      <c r="Q94" s="206"/>
    </row>
    <row r="95" spans="1:17" ht="15.75" hidden="1" thickBot="1" x14ac:dyDescent="0.3">
      <c r="A95" s="47"/>
      <c r="B95" s="48"/>
      <c r="C95" s="48"/>
      <c r="D95" s="49" t="s">
        <v>73</v>
      </c>
      <c r="E95" s="50" t="s">
        <v>115</v>
      </c>
      <c r="F95" s="51">
        <v>49529238.82</v>
      </c>
      <c r="G95" s="45"/>
      <c r="H95" s="105"/>
      <c r="I95" s="101"/>
      <c r="J95" s="45"/>
      <c r="K95" s="45"/>
      <c r="L95" s="45"/>
      <c r="M95" s="45"/>
      <c r="N95" s="105"/>
      <c r="O95" s="58"/>
      <c r="P95" s="67"/>
      <c r="Q95" s="59"/>
    </row>
    <row r="96" spans="1:17" ht="15.75" hidden="1" thickBot="1" x14ac:dyDescent="0.3">
      <c r="A96" s="31"/>
      <c r="B96" s="30"/>
      <c r="C96" s="30"/>
      <c r="D96" s="5" t="s">
        <v>74</v>
      </c>
      <c r="E96" s="8" t="s">
        <v>115</v>
      </c>
      <c r="F96" s="35">
        <v>62273374.509999998</v>
      </c>
      <c r="G96" s="13"/>
      <c r="H96" s="106"/>
      <c r="I96" s="46"/>
      <c r="J96" s="13"/>
      <c r="K96" s="13"/>
      <c r="L96" s="13"/>
      <c r="M96" s="13"/>
      <c r="N96" s="106"/>
      <c r="O96" s="60"/>
      <c r="P96" s="68"/>
      <c r="Q96" s="61"/>
    </row>
    <row r="97" spans="1:18" ht="15.75" hidden="1" thickBot="1" x14ac:dyDescent="0.3">
      <c r="A97" s="31"/>
      <c r="B97" s="30"/>
      <c r="C97" s="30"/>
      <c r="D97" s="5" t="s">
        <v>75</v>
      </c>
      <c r="E97" s="8" t="s">
        <v>115</v>
      </c>
      <c r="F97" s="35">
        <v>64340568.759999998</v>
      </c>
      <c r="G97" s="13"/>
      <c r="H97" s="106"/>
      <c r="I97" s="46"/>
      <c r="J97" s="13"/>
      <c r="K97" s="13"/>
      <c r="L97" s="13"/>
      <c r="M97" s="13"/>
      <c r="N97" s="106"/>
      <c r="O97" s="60"/>
      <c r="P97" s="68"/>
      <c r="Q97" s="61"/>
    </row>
    <row r="98" spans="1:18" ht="15.75" hidden="1" thickBot="1" x14ac:dyDescent="0.3">
      <c r="A98" s="87"/>
      <c r="B98" s="85"/>
      <c r="C98" s="85"/>
      <c r="D98" s="43" t="s">
        <v>76</v>
      </c>
      <c r="E98" s="69" t="s">
        <v>115</v>
      </c>
      <c r="F98" s="86">
        <v>50223886.299999997</v>
      </c>
      <c r="G98" s="80"/>
      <c r="H98" s="107"/>
      <c r="I98" s="84"/>
      <c r="J98" s="80"/>
      <c r="K98" s="80"/>
      <c r="L98" s="80"/>
      <c r="M98" s="80"/>
      <c r="N98" s="107"/>
      <c r="O98" s="81"/>
      <c r="P98" s="82"/>
      <c r="Q98" s="83"/>
    </row>
    <row r="99" spans="1:18" ht="15.75" hidden="1" thickBot="1" x14ac:dyDescent="0.3">
      <c r="A99" s="141"/>
      <c r="B99" s="85"/>
      <c r="C99" s="85"/>
      <c r="D99" s="43" t="s">
        <v>214</v>
      </c>
      <c r="E99" s="69" t="s">
        <v>115</v>
      </c>
      <c r="F99" s="86">
        <v>53315862.509999998</v>
      </c>
      <c r="G99" s="80"/>
      <c r="H99" s="107"/>
      <c r="I99" s="84"/>
      <c r="J99" s="80"/>
      <c r="K99" s="80"/>
      <c r="L99" s="80"/>
      <c r="M99" s="80"/>
      <c r="N99" s="107"/>
      <c r="O99" s="81"/>
      <c r="P99" s="82"/>
      <c r="Q99" s="83"/>
    </row>
    <row r="100" spans="1:18" ht="15" customHeight="1" x14ac:dyDescent="0.25">
      <c r="A100" s="227" t="s">
        <v>77</v>
      </c>
      <c r="B100" s="217" t="s">
        <v>78</v>
      </c>
      <c r="C100" s="217" t="s">
        <v>72</v>
      </c>
      <c r="D100" s="130" t="s">
        <v>79</v>
      </c>
      <c r="E100" s="142" t="s">
        <v>115</v>
      </c>
      <c r="F100" s="143">
        <v>750000</v>
      </c>
      <c r="G100" s="238">
        <f>SUM(F100:F102)/3</f>
        <v>732276.66666666663</v>
      </c>
      <c r="H100" s="234">
        <f>SUM(G100-(1*G100/100))</f>
        <v>724953.89999999991</v>
      </c>
      <c r="I100" s="232">
        <v>660000</v>
      </c>
      <c r="J100" s="232">
        <f>SUM(F104)</f>
        <v>800000</v>
      </c>
      <c r="K100" s="232"/>
      <c r="L100" s="238">
        <f>SUM(J100-G100)</f>
        <v>67723.333333333372</v>
      </c>
      <c r="M100" s="238">
        <f>SUM(L100*100)/G100</f>
        <v>9.2483259970047822</v>
      </c>
      <c r="N100" s="351" t="s">
        <v>261</v>
      </c>
      <c r="O100" s="224">
        <v>100</v>
      </c>
      <c r="P100" s="224" t="s">
        <v>138</v>
      </c>
      <c r="Q100" s="205">
        <v>100</v>
      </c>
    </row>
    <row r="101" spans="1:18" x14ac:dyDescent="0.25">
      <c r="A101" s="240"/>
      <c r="B101" s="257"/>
      <c r="C101" s="257"/>
      <c r="D101" s="12" t="s">
        <v>80</v>
      </c>
      <c r="E101" s="8" t="s">
        <v>115</v>
      </c>
      <c r="F101" s="35">
        <v>750000</v>
      </c>
      <c r="G101" s="262"/>
      <c r="H101" s="263"/>
      <c r="I101" s="241"/>
      <c r="J101" s="241"/>
      <c r="K101" s="241"/>
      <c r="L101" s="262"/>
      <c r="M101" s="262"/>
      <c r="N101" s="352"/>
      <c r="O101" s="261"/>
      <c r="P101" s="261"/>
      <c r="Q101" s="269"/>
    </row>
    <row r="102" spans="1:18" x14ac:dyDescent="0.25">
      <c r="A102" s="240"/>
      <c r="B102" s="257"/>
      <c r="C102" s="257"/>
      <c r="D102" s="12" t="s">
        <v>81</v>
      </c>
      <c r="E102" s="8" t="s">
        <v>115</v>
      </c>
      <c r="F102" s="35">
        <v>696830</v>
      </c>
      <c r="G102" s="262"/>
      <c r="H102" s="263"/>
      <c r="I102" s="241"/>
      <c r="J102" s="241"/>
      <c r="K102" s="241"/>
      <c r="L102" s="262"/>
      <c r="M102" s="262"/>
      <c r="N102" s="352"/>
      <c r="O102" s="261"/>
      <c r="P102" s="261"/>
      <c r="Q102" s="269"/>
      <c r="R102" t="s">
        <v>245</v>
      </c>
    </row>
    <row r="103" spans="1:18" x14ac:dyDescent="0.25">
      <c r="A103" s="240"/>
      <c r="B103" s="257"/>
      <c r="C103" s="257"/>
      <c r="D103" s="74" t="s">
        <v>82</v>
      </c>
      <c r="E103" s="69" t="s">
        <v>115</v>
      </c>
      <c r="F103" s="86">
        <v>660000</v>
      </c>
      <c r="G103" s="262"/>
      <c r="H103" s="263"/>
      <c r="I103" s="241"/>
      <c r="J103" s="241"/>
      <c r="K103" s="241"/>
      <c r="L103" s="262"/>
      <c r="M103" s="262"/>
      <c r="N103" s="352"/>
      <c r="O103" s="261"/>
      <c r="P103" s="261"/>
      <c r="Q103" s="269"/>
    </row>
    <row r="104" spans="1:18" ht="15.75" thickBot="1" x14ac:dyDescent="0.3">
      <c r="A104" s="228"/>
      <c r="B104" s="226"/>
      <c r="C104" s="226"/>
      <c r="D104" s="144" t="s">
        <v>215</v>
      </c>
      <c r="E104" s="116" t="s">
        <v>115</v>
      </c>
      <c r="F104" s="145">
        <v>800000</v>
      </c>
      <c r="G104" s="239"/>
      <c r="H104" s="235"/>
      <c r="I104" s="233"/>
      <c r="J104" s="233"/>
      <c r="K104" s="233"/>
      <c r="L104" s="239"/>
      <c r="M104" s="239"/>
      <c r="N104" s="353"/>
      <c r="O104" s="229"/>
      <c r="P104" s="229"/>
      <c r="Q104" s="206"/>
    </row>
    <row r="105" spans="1:18" ht="107.25" customHeight="1" x14ac:dyDescent="0.25">
      <c r="A105" s="227" t="s">
        <v>83</v>
      </c>
      <c r="B105" s="217" t="s">
        <v>262</v>
      </c>
      <c r="C105" s="217" t="s">
        <v>216</v>
      </c>
      <c r="D105" s="98" t="s">
        <v>217</v>
      </c>
      <c r="E105" s="118" t="s">
        <v>145</v>
      </c>
      <c r="F105" s="123" t="s">
        <v>146</v>
      </c>
      <c r="G105" s="253"/>
      <c r="H105" s="255">
        <v>6</v>
      </c>
      <c r="I105" s="230" t="s">
        <v>240</v>
      </c>
      <c r="J105" s="230" t="s">
        <v>241</v>
      </c>
      <c r="K105" s="232"/>
      <c r="L105" s="99"/>
      <c r="M105" s="99"/>
      <c r="N105" s="234">
        <v>9</v>
      </c>
      <c r="O105" s="224">
        <v>100</v>
      </c>
      <c r="P105" s="224" t="s">
        <v>138</v>
      </c>
      <c r="Q105" s="205">
        <v>100</v>
      </c>
    </row>
    <row r="106" spans="1:18" ht="91.5" customHeight="1" thickBot="1" x14ac:dyDescent="0.3">
      <c r="A106" s="228"/>
      <c r="B106" s="226"/>
      <c r="C106" s="226"/>
      <c r="D106" s="115" t="s">
        <v>218</v>
      </c>
      <c r="E106" s="116" t="s">
        <v>145</v>
      </c>
      <c r="F106" s="124" t="s">
        <v>239</v>
      </c>
      <c r="G106" s="254"/>
      <c r="H106" s="256"/>
      <c r="I106" s="231"/>
      <c r="J106" s="231"/>
      <c r="K106" s="233"/>
      <c r="L106" s="100"/>
      <c r="M106" s="100"/>
      <c r="N106" s="235"/>
      <c r="O106" s="229"/>
      <c r="P106" s="229"/>
      <c r="Q106" s="206"/>
    </row>
    <row r="107" spans="1:18" ht="43.5" customHeight="1" x14ac:dyDescent="0.25">
      <c r="A107" s="227" t="s">
        <v>84</v>
      </c>
      <c r="B107" s="217" t="s">
        <v>85</v>
      </c>
      <c r="C107" s="217" t="s">
        <v>86</v>
      </c>
      <c r="D107" s="98" t="s">
        <v>217</v>
      </c>
      <c r="E107" s="118" t="s">
        <v>145</v>
      </c>
      <c r="F107" s="140">
        <v>0</v>
      </c>
      <c r="G107" s="253"/>
      <c r="H107" s="255">
        <v>6</v>
      </c>
      <c r="I107" s="251">
        <v>1</v>
      </c>
      <c r="J107" s="251">
        <v>5</v>
      </c>
      <c r="K107" s="232"/>
      <c r="L107" s="253"/>
      <c r="M107" s="253"/>
      <c r="N107" s="234">
        <v>6</v>
      </c>
      <c r="O107" s="224">
        <v>100</v>
      </c>
      <c r="P107" s="224" t="s">
        <v>138</v>
      </c>
      <c r="Q107" s="205">
        <v>100</v>
      </c>
    </row>
    <row r="108" spans="1:18" ht="77.25" customHeight="1" thickBot="1" x14ac:dyDescent="0.3">
      <c r="A108" s="228"/>
      <c r="B108" s="226"/>
      <c r="C108" s="226"/>
      <c r="D108" s="115" t="s">
        <v>218</v>
      </c>
      <c r="E108" s="116" t="s">
        <v>145</v>
      </c>
      <c r="F108" s="135">
        <v>5</v>
      </c>
      <c r="G108" s="254"/>
      <c r="H108" s="256"/>
      <c r="I108" s="252"/>
      <c r="J108" s="252"/>
      <c r="K108" s="233"/>
      <c r="L108" s="254"/>
      <c r="M108" s="254"/>
      <c r="N108" s="235"/>
      <c r="O108" s="229"/>
      <c r="P108" s="229"/>
      <c r="Q108" s="206"/>
    </row>
    <row r="109" spans="1:18" ht="33.75" customHeight="1" x14ac:dyDescent="0.25">
      <c r="A109" s="227" t="s">
        <v>87</v>
      </c>
      <c r="B109" s="264" t="s">
        <v>219</v>
      </c>
      <c r="C109" s="217" t="s">
        <v>57</v>
      </c>
      <c r="D109" s="130" t="s">
        <v>132</v>
      </c>
      <c r="E109" s="131" t="s">
        <v>176</v>
      </c>
      <c r="F109" s="132">
        <f>603508/8476</f>
        <v>71.201982067012736</v>
      </c>
      <c r="G109" s="238">
        <f>SUM(F109:F111)/3</f>
        <v>68.094176629293003</v>
      </c>
      <c r="H109" s="234">
        <f>SUM(G109 +(3*G109/100))</f>
        <v>70.137001928171799</v>
      </c>
      <c r="I109" s="232">
        <f>SUM(F112)</f>
        <v>58.73230433426879</v>
      </c>
      <c r="J109" s="232">
        <v>185.11</v>
      </c>
      <c r="K109" s="232"/>
      <c r="L109" s="291" t="e">
        <f>SUM(#REF!-H109)</f>
        <v>#REF!</v>
      </c>
      <c r="M109" s="291"/>
      <c r="N109" s="234">
        <f>SUM(I109:J113)/2</f>
        <v>121.92115216713441</v>
      </c>
      <c r="O109" s="243">
        <v>100</v>
      </c>
      <c r="P109" s="243" t="s">
        <v>138</v>
      </c>
      <c r="Q109" s="205">
        <v>100</v>
      </c>
    </row>
    <row r="110" spans="1:18" ht="30" x14ac:dyDescent="0.25">
      <c r="A110" s="240"/>
      <c r="B110" s="271"/>
      <c r="C110" s="257"/>
      <c r="D110" s="12" t="s">
        <v>133</v>
      </c>
      <c r="E110" s="52" t="s">
        <v>175</v>
      </c>
      <c r="F110" s="13">
        <f>549116/7805</f>
        <v>70.354388212684171</v>
      </c>
      <c r="G110" s="262"/>
      <c r="H110" s="263"/>
      <c r="I110" s="241"/>
      <c r="J110" s="241"/>
      <c r="K110" s="241"/>
      <c r="L110" s="289"/>
      <c r="M110" s="289"/>
      <c r="N110" s="263"/>
      <c r="O110" s="244"/>
      <c r="P110" s="244"/>
      <c r="Q110" s="269"/>
    </row>
    <row r="111" spans="1:18" ht="30" x14ac:dyDescent="0.25">
      <c r="A111" s="240"/>
      <c r="B111" s="271"/>
      <c r="C111" s="257"/>
      <c r="D111" s="12" t="s">
        <v>134</v>
      </c>
      <c r="E111" s="52" t="s">
        <v>173</v>
      </c>
      <c r="F111" s="13">
        <f>435445/6942</f>
        <v>62.72615960818208</v>
      </c>
      <c r="G111" s="262"/>
      <c r="H111" s="263"/>
      <c r="I111" s="241"/>
      <c r="J111" s="241"/>
      <c r="K111" s="241"/>
      <c r="L111" s="289"/>
      <c r="M111" s="289"/>
      <c r="N111" s="263"/>
      <c r="O111" s="244"/>
      <c r="P111" s="244"/>
      <c r="Q111" s="269"/>
    </row>
    <row r="112" spans="1:18" ht="30" x14ac:dyDescent="0.25">
      <c r="A112" s="240"/>
      <c r="B112" s="271"/>
      <c r="C112" s="257"/>
      <c r="D112" s="12" t="s">
        <v>135</v>
      </c>
      <c r="E112" s="52" t="s">
        <v>174</v>
      </c>
      <c r="F112" s="13">
        <f>376709/6414</f>
        <v>58.73230433426879</v>
      </c>
      <c r="G112" s="262"/>
      <c r="H112" s="263"/>
      <c r="I112" s="241"/>
      <c r="J112" s="241"/>
      <c r="K112" s="241"/>
      <c r="L112" s="289"/>
      <c r="M112" s="289"/>
      <c r="N112" s="263"/>
      <c r="O112" s="244"/>
      <c r="P112" s="244"/>
      <c r="Q112" s="269"/>
    </row>
    <row r="113" spans="1:17" ht="30.75" thickBot="1" x14ac:dyDescent="0.3">
      <c r="A113" s="240"/>
      <c r="B113" s="271"/>
      <c r="C113" s="257"/>
      <c r="D113" s="12" t="s">
        <v>242</v>
      </c>
      <c r="E113" s="52" t="s">
        <v>243</v>
      </c>
      <c r="F113" s="46">
        <f>SUM(1079196/5830)</f>
        <v>185.1108061749571</v>
      </c>
      <c r="G113" s="346"/>
      <c r="H113" s="345"/>
      <c r="I113" s="242"/>
      <c r="J113" s="242"/>
      <c r="K113" s="242"/>
      <c r="L113" s="92"/>
      <c r="M113" s="92"/>
      <c r="N113" s="345"/>
      <c r="O113" s="245"/>
      <c r="P113" s="245"/>
      <c r="Q113" s="349"/>
    </row>
    <row r="114" spans="1:17" ht="15.75" hidden="1" thickBot="1" x14ac:dyDescent="0.3">
      <c r="A114" s="240"/>
      <c r="B114" s="93"/>
      <c r="C114" s="94"/>
      <c r="D114" s="4" t="s">
        <v>88</v>
      </c>
      <c r="E114" s="7" t="s">
        <v>121</v>
      </c>
      <c r="F114" s="2">
        <v>475</v>
      </c>
      <c r="G114" s="13"/>
      <c r="H114" s="106"/>
      <c r="I114" s="46"/>
      <c r="J114" s="13"/>
      <c r="K114" s="13"/>
      <c r="L114" s="13"/>
      <c r="M114" s="13"/>
      <c r="N114" s="106"/>
      <c r="O114" s="60"/>
      <c r="P114" s="68"/>
      <c r="Q114" s="61"/>
    </row>
    <row r="115" spans="1:17" ht="15.75" hidden="1" thickBot="1" x14ac:dyDescent="0.3">
      <c r="A115" s="240"/>
      <c r="B115" s="93"/>
      <c r="C115" s="94"/>
      <c r="D115" s="4" t="s">
        <v>89</v>
      </c>
      <c r="E115" s="7" t="s">
        <v>121</v>
      </c>
      <c r="F115" s="2">
        <v>465</v>
      </c>
      <c r="G115" s="13"/>
      <c r="H115" s="106"/>
      <c r="I115" s="46"/>
      <c r="J115" s="13"/>
      <c r="K115" s="13"/>
      <c r="L115" s="13"/>
      <c r="M115" s="13"/>
      <c r="N115" s="106"/>
      <c r="O115" s="60"/>
      <c r="P115" s="68"/>
      <c r="Q115" s="61"/>
    </row>
    <row r="116" spans="1:17" ht="15.75" hidden="1" thickBot="1" x14ac:dyDescent="0.3">
      <c r="A116" s="240"/>
      <c r="B116" s="93"/>
      <c r="C116" s="94"/>
      <c r="D116" s="4" t="s">
        <v>90</v>
      </c>
      <c r="E116" s="7" t="s">
        <v>121</v>
      </c>
      <c r="F116" s="2">
        <v>453</v>
      </c>
      <c r="G116" s="13"/>
      <c r="H116" s="106"/>
      <c r="I116" s="46"/>
      <c r="J116" s="13"/>
      <c r="K116" s="13"/>
      <c r="L116" s="13"/>
      <c r="M116" s="13"/>
      <c r="N116" s="106"/>
      <c r="O116" s="60"/>
      <c r="P116" s="68"/>
      <c r="Q116" s="61"/>
    </row>
    <row r="117" spans="1:17" ht="15.75" hidden="1" thickBot="1" x14ac:dyDescent="0.3">
      <c r="A117" s="240"/>
      <c r="B117" s="93"/>
      <c r="C117" s="94"/>
      <c r="D117" s="4" t="s">
        <v>91</v>
      </c>
      <c r="E117" s="7" t="s">
        <v>121</v>
      </c>
      <c r="F117" s="2">
        <v>446</v>
      </c>
      <c r="G117" s="13"/>
      <c r="H117" s="106"/>
      <c r="I117" s="46"/>
      <c r="J117" s="13"/>
      <c r="K117" s="13"/>
      <c r="L117" s="13"/>
      <c r="M117" s="13"/>
      <c r="N117" s="106"/>
      <c r="O117" s="60"/>
      <c r="P117" s="68"/>
      <c r="Q117" s="61"/>
    </row>
    <row r="118" spans="1:17" ht="15.75" hidden="1" thickBot="1" x14ac:dyDescent="0.3">
      <c r="A118" s="240"/>
      <c r="B118" s="93"/>
      <c r="C118" s="94"/>
      <c r="D118" s="4" t="s">
        <v>220</v>
      </c>
      <c r="E118" s="7" t="s">
        <v>121</v>
      </c>
      <c r="F118" s="9">
        <v>454</v>
      </c>
      <c r="G118" s="13"/>
      <c r="H118" s="106"/>
      <c r="I118" s="46"/>
      <c r="J118" s="13"/>
      <c r="K118" s="13"/>
      <c r="L118" s="13"/>
      <c r="M118" s="13"/>
      <c r="N118" s="106"/>
      <c r="O118" s="60"/>
      <c r="P118" s="68"/>
      <c r="Q118" s="61"/>
    </row>
    <row r="119" spans="1:17" ht="15.75" hidden="1" thickBot="1" x14ac:dyDescent="0.3">
      <c r="A119" s="240"/>
      <c r="B119" s="93"/>
      <c r="C119" s="94"/>
      <c r="D119" s="4" t="s">
        <v>92</v>
      </c>
      <c r="E119" s="7" t="s">
        <v>112</v>
      </c>
      <c r="F119" s="2">
        <v>8001</v>
      </c>
      <c r="G119" s="13"/>
      <c r="H119" s="106"/>
      <c r="I119" s="46"/>
      <c r="J119" s="13"/>
      <c r="K119" s="13"/>
      <c r="L119" s="13"/>
      <c r="M119" s="13"/>
      <c r="N119" s="106"/>
      <c r="O119" s="60"/>
      <c r="P119" s="68"/>
      <c r="Q119" s="61"/>
    </row>
    <row r="120" spans="1:17" ht="15.75" hidden="1" thickBot="1" x14ac:dyDescent="0.3">
      <c r="A120" s="240"/>
      <c r="B120" s="93"/>
      <c r="C120" s="94"/>
      <c r="D120" s="4" t="s">
        <v>93</v>
      </c>
      <c r="E120" s="7" t="s">
        <v>112</v>
      </c>
      <c r="F120" s="2">
        <v>7340</v>
      </c>
      <c r="G120" s="13"/>
      <c r="H120" s="106"/>
      <c r="I120" s="46"/>
      <c r="J120" s="13"/>
      <c r="K120" s="13"/>
      <c r="L120" s="13"/>
      <c r="M120" s="13"/>
      <c r="N120" s="106"/>
      <c r="O120" s="60"/>
      <c r="P120" s="68"/>
      <c r="Q120" s="61"/>
    </row>
    <row r="121" spans="1:17" ht="15.75" hidden="1" thickBot="1" x14ac:dyDescent="0.3">
      <c r="A121" s="240"/>
      <c r="B121" s="93"/>
      <c r="C121" s="94"/>
      <c r="D121" s="4" t="s">
        <v>94</v>
      </c>
      <c r="E121" s="7" t="s">
        <v>112</v>
      </c>
      <c r="F121" s="2">
        <v>6489</v>
      </c>
      <c r="G121" s="13"/>
      <c r="H121" s="106"/>
      <c r="I121" s="46"/>
      <c r="J121" s="13"/>
      <c r="K121" s="13"/>
      <c r="L121" s="13"/>
      <c r="M121" s="13"/>
      <c r="N121" s="106"/>
      <c r="O121" s="60"/>
      <c r="P121" s="68"/>
      <c r="Q121" s="61"/>
    </row>
    <row r="122" spans="1:17" ht="15.75" hidden="1" thickBot="1" x14ac:dyDescent="0.3">
      <c r="A122" s="240"/>
      <c r="B122" s="93"/>
      <c r="C122" s="94"/>
      <c r="D122" s="63" t="s">
        <v>95</v>
      </c>
      <c r="E122" s="64" t="s">
        <v>112</v>
      </c>
      <c r="F122" s="88">
        <v>5968</v>
      </c>
      <c r="G122" s="80"/>
      <c r="H122" s="107"/>
      <c r="I122" s="84"/>
      <c r="J122" s="80"/>
      <c r="K122" s="80"/>
      <c r="L122" s="80"/>
      <c r="M122" s="80"/>
      <c r="N122" s="107"/>
      <c r="O122" s="81"/>
      <c r="P122" s="82"/>
      <c r="Q122" s="83"/>
    </row>
    <row r="123" spans="1:17" ht="15.75" hidden="1" thickBot="1" x14ac:dyDescent="0.3">
      <c r="A123" s="228"/>
      <c r="B123" s="133"/>
      <c r="C123" s="134"/>
      <c r="D123" s="127" t="s">
        <v>221</v>
      </c>
      <c r="E123" s="128" t="s">
        <v>112</v>
      </c>
      <c r="F123" s="135">
        <v>5376</v>
      </c>
      <c r="G123" s="100"/>
      <c r="H123" s="136"/>
      <c r="I123" s="137"/>
      <c r="J123" s="100"/>
      <c r="K123" s="100"/>
      <c r="L123" s="100"/>
      <c r="M123" s="100"/>
      <c r="N123" s="136"/>
      <c r="O123" s="138"/>
      <c r="P123" s="139"/>
      <c r="Q123" s="201"/>
    </row>
    <row r="124" spans="1:17" ht="93" customHeight="1" x14ac:dyDescent="0.25">
      <c r="A124" s="227" t="s">
        <v>96</v>
      </c>
      <c r="B124" s="217" t="s">
        <v>222</v>
      </c>
      <c r="C124" s="217" t="s">
        <v>97</v>
      </c>
      <c r="D124" s="125" t="s">
        <v>98</v>
      </c>
      <c r="E124" s="118" t="s">
        <v>114</v>
      </c>
      <c r="F124" s="126">
        <v>3</v>
      </c>
      <c r="G124" s="249">
        <v>0</v>
      </c>
      <c r="H124" s="255">
        <v>3</v>
      </c>
      <c r="I124" s="246">
        <v>3</v>
      </c>
      <c r="J124" s="246">
        <v>0</v>
      </c>
      <c r="K124" s="232"/>
      <c r="L124" s="99"/>
      <c r="M124" s="99"/>
      <c r="N124" s="255">
        <v>3</v>
      </c>
      <c r="O124" s="243">
        <v>100</v>
      </c>
      <c r="P124" s="243" t="s">
        <v>138</v>
      </c>
      <c r="Q124" s="205">
        <v>100</v>
      </c>
    </row>
    <row r="125" spans="1:17" ht="93" customHeight="1" thickBot="1" x14ac:dyDescent="0.3">
      <c r="A125" s="228"/>
      <c r="B125" s="226"/>
      <c r="C125" s="226"/>
      <c r="D125" s="127" t="s">
        <v>223</v>
      </c>
      <c r="E125" s="128" t="s">
        <v>114</v>
      </c>
      <c r="F125" s="129">
        <v>0</v>
      </c>
      <c r="G125" s="250"/>
      <c r="H125" s="256"/>
      <c r="I125" s="247"/>
      <c r="J125" s="247"/>
      <c r="K125" s="233"/>
      <c r="L125" s="100"/>
      <c r="M125" s="100"/>
      <c r="N125" s="256"/>
      <c r="O125" s="248"/>
      <c r="P125" s="248"/>
      <c r="Q125" s="206"/>
    </row>
    <row r="126" spans="1:17" ht="59.25" customHeight="1" x14ac:dyDescent="0.25">
      <c r="A126" s="207" t="s">
        <v>99</v>
      </c>
      <c r="B126" s="209" t="s">
        <v>100</v>
      </c>
      <c r="C126" s="217" t="s">
        <v>147</v>
      </c>
      <c r="D126" s="98" t="s">
        <v>217</v>
      </c>
      <c r="E126" s="118" t="s">
        <v>145</v>
      </c>
      <c r="F126" s="123" t="s">
        <v>153</v>
      </c>
      <c r="G126" s="253"/>
      <c r="H126" s="255">
        <v>6</v>
      </c>
      <c r="I126" s="230" t="s">
        <v>148</v>
      </c>
      <c r="J126" s="230" t="s">
        <v>148</v>
      </c>
      <c r="K126" s="232"/>
      <c r="L126" s="99"/>
      <c r="M126" s="99"/>
      <c r="N126" s="234">
        <v>4</v>
      </c>
      <c r="O126" s="236">
        <f>SUM(100*4)/6</f>
        <v>66.666666666666671</v>
      </c>
      <c r="P126" s="224" t="s">
        <v>138</v>
      </c>
      <c r="Q126" s="211">
        <f>SUM(O126)</f>
        <v>66.666666666666671</v>
      </c>
    </row>
    <row r="127" spans="1:17" ht="36.75" customHeight="1" thickBot="1" x14ac:dyDescent="0.3">
      <c r="A127" s="208"/>
      <c r="B127" s="210"/>
      <c r="C127" s="226"/>
      <c r="D127" s="115" t="s">
        <v>218</v>
      </c>
      <c r="E127" s="116" t="s">
        <v>145</v>
      </c>
      <c r="F127" s="124" t="s">
        <v>153</v>
      </c>
      <c r="G127" s="254"/>
      <c r="H127" s="256"/>
      <c r="I127" s="231"/>
      <c r="J127" s="231"/>
      <c r="K127" s="233"/>
      <c r="L127" s="100"/>
      <c r="M127" s="100"/>
      <c r="N127" s="235"/>
      <c r="O127" s="237"/>
      <c r="P127" s="229"/>
      <c r="Q127" s="212"/>
    </row>
    <row r="128" spans="1:17" ht="104.25" customHeight="1" x14ac:dyDescent="0.25">
      <c r="A128" s="207" t="s">
        <v>101</v>
      </c>
      <c r="B128" s="217" t="s">
        <v>102</v>
      </c>
      <c r="C128" s="217" t="s">
        <v>103</v>
      </c>
      <c r="D128" s="98" t="s">
        <v>217</v>
      </c>
      <c r="E128" s="114" t="s">
        <v>145</v>
      </c>
      <c r="F128" s="113" t="s">
        <v>149</v>
      </c>
      <c r="G128" s="238">
        <v>3.33</v>
      </c>
      <c r="H128" s="234">
        <v>6.66</v>
      </c>
      <c r="I128" s="232">
        <v>4</v>
      </c>
      <c r="J128" s="232">
        <v>4</v>
      </c>
      <c r="K128" s="232"/>
      <c r="L128" s="120"/>
      <c r="M128" s="99"/>
      <c r="N128" s="234">
        <v>8</v>
      </c>
      <c r="O128" s="224">
        <v>100</v>
      </c>
      <c r="P128" s="224" t="s">
        <v>138</v>
      </c>
      <c r="Q128" s="205">
        <v>100</v>
      </c>
    </row>
    <row r="129" spans="1:17" ht="53.25" customHeight="1" thickBot="1" x14ac:dyDescent="0.3">
      <c r="A129" s="208"/>
      <c r="B129" s="226"/>
      <c r="C129" s="226"/>
      <c r="D129" s="115" t="s">
        <v>218</v>
      </c>
      <c r="E129" s="116" t="s">
        <v>145</v>
      </c>
      <c r="F129" s="121" t="s">
        <v>246</v>
      </c>
      <c r="G129" s="239"/>
      <c r="H129" s="235"/>
      <c r="I129" s="233"/>
      <c r="J129" s="233"/>
      <c r="K129" s="233"/>
      <c r="L129" s="122"/>
      <c r="M129" s="100"/>
      <c r="N129" s="235"/>
      <c r="O129" s="229"/>
      <c r="P129" s="229"/>
      <c r="Q129" s="206"/>
    </row>
    <row r="130" spans="1:17" ht="63" customHeight="1" x14ac:dyDescent="0.25">
      <c r="A130" s="207" t="s">
        <v>104</v>
      </c>
      <c r="B130" s="217" t="s">
        <v>105</v>
      </c>
      <c r="C130" s="217" t="s">
        <v>106</v>
      </c>
      <c r="D130" s="98" t="s">
        <v>217</v>
      </c>
      <c r="E130" s="118" t="s">
        <v>145</v>
      </c>
      <c r="F130" s="119" t="s">
        <v>152</v>
      </c>
      <c r="G130" s="253"/>
      <c r="H130" s="255">
        <v>3</v>
      </c>
      <c r="I130" s="221">
        <v>1</v>
      </c>
      <c r="J130" s="221">
        <v>1</v>
      </c>
      <c r="K130" s="221"/>
      <c r="L130" s="99"/>
      <c r="M130" s="99"/>
      <c r="N130" s="255">
        <v>2</v>
      </c>
      <c r="O130" s="236">
        <f>SUM(100*N130)/H130</f>
        <v>66.666666666666671</v>
      </c>
      <c r="P130" s="224" t="s">
        <v>138</v>
      </c>
      <c r="Q130" s="211">
        <f>SUM(O130)</f>
        <v>66.666666666666671</v>
      </c>
    </row>
    <row r="131" spans="1:17" ht="36.75" customHeight="1" thickBot="1" x14ac:dyDescent="0.3">
      <c r="A131" s="208"/>
      <c r="B131" s="226"/>
      <c r="C131" s="226"/>
      <c r="D131" s="115" t="s">
        <v>218</v>
      </c>
      <c r="E131" s="116" t="s">
        <v>145</v>
      </c>
      <c r="F131" s="117" t="s">
        <v>152</v>
      </c>
      <c r="G131" s="254"/>
      <c r="H131" s="256"/>
      <c r="I131" s="222"/>
      <c r="J131" s="222"/>
      <c r="K131" s="222"/>
      <c r="L131" s="100"/>
      <c r="M131" s="100"/>
      <c r="N131" s="256"/>
      <c r="O131" s="237"/>
      <c r="P131" s="229"/>
      <c r="Q131" s="212"/>
    </row>
    <row r="132" spans="1:17" ht="43.5" customHeight="1" x14ac:dyDescent="0.25">
      <c r="A132" s="227" t="s">
        <v>107</v>
      </c>
      <c r="B132" s="217" t="s">
        <v>108</v>
      </c>
      <c r="C132" s="217" t="s">
        <v>97</v>
      </c>
      <c r="D132" s="98" t="s">
        <v>217</v>
      </c>
      <c r="E132" s="114" t="s">
        <v>145</v>
      </c>
      <c r="F132" s="113" t="s">
        <v>150</v>
      </c>
      <c r="G132" s="253"/>
      <c r="H132" s="255">
        <v>3</v>
      </c>
      <c r="I132" s="221">
        <v>1</v>
      </c>
      <c r="J132" s="221">
        <v>2</v>
      </c>
      <c r="K132" s="232"/>
      <c r="L132" s="99"/>
      <c r="M132" s="99"/>
      <c r="N132" s="255">
        <v>3</v>
      </c>
      <c r="O132" s="224">
        <v>100</v>
      </c>
      <c r="P132" s="224" t="s">
        <v>138</v>
      </c>
      <c r="Q132" s="205">
        <v>100</v>
      </c>
    </row>
    <row r="133" spans="1:17" ht="43.5" customHeight="1" thickBot="1" x14ac:dyDescent="0.3">
      <c r="A133" s="228"/>
      <c r="B133" s="226"/>
      <c r="C133" s="226"/>
      <c r="D133" s="115" t="s">
        <v>218</v>
      </c>
      <c r="E133" s="116" t="s">
        <v>145</v>
      </c>
      <c r="F133" s="117" t="s">
        <v>247</v>
      </c>
      <c r="G133" s="254"/>
      <c r="H133" s="256"/>
      <c r="I133" s="222"/>
      <c r="J133" s="222"/>
      <c r="K133" s="233"/>
      <c r="L133" s="100"/>
      <c r="M133" s="100"/>
      <c r="N133" s="256"/>
      <c r="O133" s="229"/>
      <c r="P133" s="229"/>
      <c r="Q133" s="206"/>
    </row>
    <row r="134" spans="1:17" ht="43.5" customHeight="1" x14ac:dyDescent="0.25">
      <c r="A134" s="213" t="s">
        <v>109</v>
      </c>
      <c r="B134" s="215" t="s">
        <v>110</v>
      </c>
      <c r="C134" s="217" t="s">
        <v>97</v>
      </c>
      <c r="D134" s="98" t="s">
        <v>217</v>
      </c>
      <c r="E134" s="219" t="s">
        <v>145</v>
      </c>
      <c r="F134" s="113" t="s">
        <v>151</v>
      </c>
      <c r="G134" s="354"/>
      <c r="H134" s="255">
        <v>3</v>
      </c>
      <c r="I134" s="221">
        <v>7</v>
      </c>
      <c r="J134" s="221">
        <v>3</v>
      </c>
      <c r="K134" s="232"/>
      <c r="L134" s="99"/>
      <c r="M134" s="99"/>
      <c r="N134" s="255">
        <v>10</v>
      </c>
      <c r="O134" s="224">
        <v>100</v>
      </c>
      <c r="P134" s="224" t="s">
        <v>138</v>
      </c>
      <c r="Q134" s="205">
        <v>100</v>
      </c>
    </row>
    <row r="135" spans="1:17" ht="30" customHeight="1" thickBot="1" x14ac:dyDescent="0.3">
      <c r="A135" s="214"/>
      <c r="B135" s="216"/>
      <c r="C135" s="218"/>
      <c r="D135" s="97" t="s">
        <v>218</v>
      </c>
      <c r="E135" s="220"/>
      <c r="F135" s="202" t="s">
        <v>248</v>
      </c>
      <c r="G135" s="355"/>
      <c r="H135" s="348"/>
      <c r="I135" s="223"/>
      <c r="J135" s="223"/>
      <c r="K135" s="287"/>
      <c r="L135" s="14"/>
      <c r="M135" s="14"/>
      <c r="N135" s="348"/>
      <c r="O135" s="225"/>
      <c r="P135" s="225"/>
      <c r="Q135" s="347"/>
    </row>
    <row r="136" spans="1:17" ht="15.75" thickTop="1" x14ac:dyDescent="0.25"/>
  </sheetData>
  <mergeCells count="371">
    <mergeCell ref="M73:M77"/>
    <mergeCell ref="O73:O77"/>
    <mergeCell ref="L68:L71"/>
    <mergeCell ref="M68:M71"/>
    <mergeCell ref="L88:L89"/>
    <mergeCell ref="M88:M89"/>
    <mergeCell ref="I88:I89"/>
    <mergeCell ref="G130:G131"/>
    <mergeCell ref="I130:I131"/>
    <mergeCell ref="K130:K131"/>
    <mergeCell ref="O130:O131"/>
    <mergeCell ref="O90:O94"/>
    <mergeCell ref="M100:M104"/>
    <mergeCell ref="O100:O104"/>
    <mergeCell ref="K42:K46"/>
    <mergeCell ref="N109:N113"/>
    <mergeCell ref="N124:N125"/>
    <mergeCell ref="N126:N127"/>
    <mergeCell ref="N128:N129"/>
    <mergeCell ref="N130:N131"/>
    <mergeCell ref="N42:N46"/>
    <mergeCell ref="N47:N51"/>
    <mergeCell ref="N52:N53"/>
    <mergeCell ref="N59:N63"/>
    <mergeCell ref="N64:N67"/>
    <mergeCell ref="N68:N72"/>
    <mergeCell ref="N73:N77"/>
    <mergeCell ref="N83:N87"/>
    <mergeCell ref="N88:N89"/>
    <mergeCell ref="N90:N94"/>
    <mergeCell ref="N100:N104"/>
    <mergeCell ref="N105:N106"/>
    <mergeCell ref="N107:N108"/>
    <mergeCell ref="K100:K104"/>
    <mergeCell ref="K105:K106"/>
    <mergeCell ref="Q134:Q135"/>
    <mergeCell ref="H134:H135"/>
    <mergeCell ref="H132:H133"/>
    <mergeCell ref="H126:H127"/>
    <mergeCell ref="H124:H125"/>
    <mergeCell ref="N132:N133"/>
    <mergeCell ref="N134:N135"/>
    <mergeCell ref="O109:O113"/>
    <mergeCell ref="Q109:Q113"/>
    <mergeCell ref="O124:O125"/>
    <mergeCell ref="L109:L112"/>
    <mergeCell ref="M109:M112"/>
    <mergeCell ref="I132:I133"/>
    <mergeCell ref="I134:I135"/>
    <mergeCell ref="O132:O133"/>
    <mergeCell ref="O134:O135"/>
    <mergeCell ref="H130:H131"/>
    <mergeCell ref="K132:K133"/>
    <mergeCell ref="K134:K135"/>
    <mergeCell ref="G109:G113"/>
    <mergeCell ref="I109:I113"/>
    <mergeCell ref="I124:I125"/>
    <mergeCell ref="G126:G127"/>
    <mergeCell ref="C126:C127"/>
    <mergeCell ref="K64:K67"/>
    <mergeCell ref="K68:K72"/>
    <mergeCell ref="K73:K77"/>
    <mergeCell ref="K83:K87"/>
    <mergeCell ref="K88:K89"/>
    <mergeCell ref="K90:K94"/>
    <mergeCell ref="G132:G133"/>
    <mergeCell ref="G134:G135"/>
    <mergeCell ref="I68:I72"/>
    <mergeCell ref="S33:U44"/>
    <mergeCell ref="S47:U50"/>
    <mergeCell ref="G32:G36"/>
    <mergeCell ref="H32:H36"/>
    <mergeCell ref="I32:I36"/>
    <mergeCell ref="J32:J36"/>
    <mergeCell ref="L32:L36"/>
    <mergeCell ref="G37:G41"/>
    <mergeCell ref="M64:M67"/>
    <mergeCell ref="O64:O67"/>
    <mergeCell ref="Q64:Q67"/>
    <mergeCell ref="Q59:Q63"/>
    <mergeCell ref="Q52:Q53"/>
    <mergeCell ref="G42:G46"/>
    <mergeCell ref="H42:H46"/>
    <mergeCell ref="I42:I46"/>
    <mergeCell ref="J42:J46"/>
    <mergeCell ref="L42:L46"/>
    <mergeCell ref="M42:M46"/>
    <mergeCell ref="H59:H63"/>
    <mergeCell ref="I59:I63"/>
    <mergeCell ref="L59:L63"/>
    <mergeCell ref="I37:I41"/>
    <mergeCell ref="J37:J41"/>
    <mergeCell ref="L100:L104"/>
    <mergeCell ref="A90:A94"/>
    <mergeCell ref="B90:B94"/>
    <mergeCell ref="J59:J63"/>
    <mergeCell ref="G73:G77"/>
    <mergeCell ref="H73:H77"/>
    <mergeCell ref="I73:I77"/>
    <mergeCell ref="L73:L77"/>
    <mergeCell ref="H90:H94"/>
    <mergeCell ref="G90:G94"/>
    <mergeCell ref="I90:I94"/>
    <mergeCell ref="L90:L94"/>
    <mergeCell ref="K59:K63"/>
    <mergeCell ref="H88:H89"/>
    <mergeCell ref="G88:G89"/>
    <mergeCell ref="G68:G72"/>
    <mergeCell ref="O68:O72"/>
    <mergeCell ref="C42:C46"/>
    <mergeCell ref="B42:B46"/>
    <mergeCell ref="A42:A51"/>
    <mergeCell ref="B47:B51"/>
    <mergeCell ref="C47:C51"/>
    <mergeCell ref="J88:J89"/>
    <mergeCell ref="M59:M63"/>
    <mergeCell ref="G47:G51"/>
    <mergeCell ref="H47:H51"/>
    <mergeCell ref="I47:I51"/>
    <mergeCell ref="J47:J51"/>
    <mergeCell ref="L47:L51"/>
    <mergeCell ref="M47:M51"/>
    <mergeCell ref="O59:O63"/>
    <mergeCell ref="A83:A87"/>
    <mergeCell ref="A64:A67"/>
    <mergeCell ref="M83:M86"/>
    <mergeCell ref="O88:O89"/>
    <mergeCell ref="K47:K51"/>
    <mergeCell ref="K52:K56"/>
    <mergeCell ref="K32:K36"/>
    <mergeCell ref="K37:K41"/>
    <mergeCell ref="M2:M6"/>
    <mergeCell ref="B7:B11"/>
    <mergeCell ref="C7:C11"/>
    <mergeCell ref="J7:J11"/>
    <mergeCell ref="B12:B16"/>
    <mergeCell ref="A27:A31"/>
    <mergeCell ref="B27:B31"/>
    <mergeCell ref="C27:C31"/>
    <mergeCell ref="B32:B36"/>
    <mergeCell ref="C32:C36"/>
    <mergeCell ref="G17:G21"/>
    <mergeCell ref="H17:H21"/>
    <mergeCell ref="J17:J21"/>
    <mergeCell ref="G22:G26"/>
    <mergeCell ref="H22:H26"/>
    <mergeCell ref="I22:I26"/>
    <mergeCell ref="I17:I21"/>
    <mergeCell ref="G27:G31"/>
    <mergeCell ref="H27:H31"/>
    <mergeCell ref="I27:I31"/>
    <mergeCell ref="J27:J31"/>
    <mergeCell ref="B17:B21"/>
    <mergeCell ref="C17:C21"/>
    <mergeCell ref="L27:L31"/>
    <mergeCell ref="K2:K6"/>
    <mergeCell ref="K7:K11"/>
    <mergeCell ref="K12:K16"/>
    <mergeCell ref="K17:K21"/>
    <mergeCell ref="K22:K26"/>
    <mergeCell ref="K27:K31"/>
    <mergeCell ref="B37:B41"/>
    <mergeCell ref="A32:A41"/>
    <mergeCell ref="C37:C41"/>
    <mergeCell ref="B22:B26"/>
    <mergeCell ref="A17:A26"/>
    <mergeCell ref="C22:C26"/>
    <mergeCell ref="P2:P6"/>
    <mergeCell ref="P7:P11"/>
    <mergeCell ref="P12:P16"/>
    <mergeCell ref="M7:M11"/>
    <mergeCell ref="M12:M16"/>
    <mergeCell ref="L17:L21"/>
    <mergeCell ref="M17:M21"/>
    <mergeCell ref="J2:J6"/>
    <mergeCell ref="M22:M26"/>
    <mergeCell ref="L22:L26"/>
    <mergeCell ref="J22:J26"/>
    <mergeCell ref="N2:N6"/>
    <mergeCell ref="N7:N11"/>
    <mergeCell ref="N12:N16"/>
    <mergeCell ref="N17:N21"/>
    <mergeCell ref="N22:N26"/>
    <mergeCell ref="M27:M31"/>
    <mergeCell ref="H37:H41"/>
    <mergeCell ref="P73:P77"/>
    <mergeCell ref="P88:P89"/>
    <mergeCell ref="P83:P87"/>
    <mergeCell ref="Q17:Q26"/>
    <mergeCell ref="Q32:Q41"/>
    <mergeCell ref="O47:O51"/>
    <mergeCell ref="P47:P51"/>
    <mergeCell ref="Q42:Q51"/>
    <mergeCell ref="Q2:Q16"/>
    <mergeCell ref="P17:P21"/>
    <mergeCell ref="P22:P26"/>
    <mergeCell ref="O22:O26"/>
    <mergeCell ref="O27:O31"/>
    <mergeCell ref="P27:P31"/>
    <mergeCell ref="Q27:Q31"/>
    <mergeCell ref="O42:O46"/>
    <mergeCell ref="P42:P46"/>
    <mergeCell ref="O17:O21"/>
    <mergeCell ref="O2:O6"/>
    <mergeCell ref="O7:O11"/>
    <mergeCell ref="O12:O16"/>
    <mergeCell ref="Q73:Q77"/>
    <mergeCell ref="A2:A16"/>
    <mergeCell ref="C12:C16"/>
    <mergeCell ref="L2:L6"/>
    <mergeCell ref="G2:G6"/>
    <mergeCell ref="G7:G11"/>
    <mergeCell ref="G12:G16"/>
    <mergeCell ref="H2:H6"/>
    <mergeCell ref="H7:H11"/>
    <mergeCell ref="H12:H16"/>
    <mergeCell ref="I2:I6"/>
    <mergeCell ref="I7:I11"/>
    <mergeCell ref="J12:J16"/>
    <mergeCell ref="I12:I16"/>
    <mergeCell ref="L7:L11"/>
    <mergeCell ref="L12:L16"/>
    <mergeCell ref="B2:B6"/>
    <mergeCell ref="C2:C6"/>
    <mergeCell ref="L37:L41"/>
    <mergeCell ref="M32:M36"/>
    <mergeCell ref="O32:O36"/>
    <mergeCell ref="P32:P36"/>
    <mergeCell ref="P37:P41"/>
    <mergeCell ref="M37:M41"/>
    <mergeCell ref="O37:O41"/>
    <mergeCell ref="N27:N31"/>
    <mergeCell ref="N32:N36"/>
    <mergeCell ref="N37:N41"/>
    <mergeCell ref="A68:A72"/>
    <mergeCell ref="B68:B72"/>
    <mergeCell ref="C68:C72"/>
    <mergeCell ref="P68:P72"/>
    <mergeCell ref="J68:J72"/>
    <mergeCell ref="A73:A77"/>
    <mergeCell ref="B73:B77"/>
    <mergeCell ref="P59:P63"/>
    <mergeCell ref="A52:A53"/>
    <mergeCell ref="B52:B53"/>
    <mergeCell ref="C52:C53"/>
    <mergeCell ref="P52:P53"/>
    <mergeCell ref="O52:O53"/>
    <mergeCell ref="M52:M53"/>
    <mergeCell ref="L52:L53"/>
    <mergeCell ref="J52:J53"/>
    <mergeCell ref="I52:I53"/>
    <mergeCell ref="H52:H53"/>
    <mergeCell ref="G52:G53"/>
    <mergeCell ref="A59:A63"/>
    <mergeCell ref="B59:B63"/>
    <mergeCell ref="C59:C63"/>
    <mergeCell ref="G59:G63"/>
    <mergeCell ref="J64:J67"/>
    <mergeCell ref="Q105:Q106"/>
    <mergeCell ref="Q100:Q104"/>
    <mergeCell ref="Q90:Q94"/>
    <mergeCell ref="Q88:Q89"/>
    <mergeCell ref="Q83:Q87"/>
    <mergeCell ref="C90:C94"/>
    <mergeCell ref="B64:B67"/>
    <mergeCell ref="C64:C67"/>
    <mergeCell ref="P64:P67"/>
    <mergeCell ref="J73:J77"/>
    <mergeCell ref="G64:G67"/>
    <mergeCell ref="H64:H67"/>
    <mergeCell ref="I64:I67"/>
    <mergeCell ref="L64:L67"/>
    <mergeCell ref="I105:I106"/>
    <mergeCell ref="M90:M94"/>
    <mergeCell ref="L83:L87"/>
    <mergeCell ref="B83:B87"/>
    <mergeCell ref="C83:C87"/>
    <mergeCell ref="J83:J87"/>
    <mergeCell ref="Q68:Q72"/>
    <mergeCell ref="H68:H72"/>
    <mergeCell ref="G83:G87"/>
    <mergeCell ref="H83:H87"/>
    <mergeCell ref="A100:A104"/>
    <mergeCell ref="B100:B104"/>
    <mergeCell ref="C100:C104"/>
    <mergeCell ref="J90:J94"/>
    <mergeCell ref="J100:J104"/>
    <mergeCell ref="P90:P94"/>
    <mergeCell ref="P100:P104"/>
    <mergeCell ref="C73:C77"/>
    <mergeCell ref="A105:A106"/>
    <mergeCell ref="G100:G104"/>
    <mergeCell ref="H100:H104"/>
    <mergeCell ref="I100:I104"/>
    <mergeCell ref="A88:A89"/>
    <mergeCell ref="B88:B89"/>
    <mergeCell ref="C88:C89"/>
    <mergeCell ref="B105:B106"/>
    <mergeCell ref="C105:C106"/>
    <mergeCell ref="J105:J106"/>
    <mergeCell ref="P105:P106"/>
    <mergeCell ref="I83:I87"/>
    <mergeCell ref="O83:O87"/>
    <mergeCell ref="O105:O106"/>
    <mergeCell ref="G105:G106"/>
    <mergeCell ref="H105:H106"/>
    <mergeCell ref="A107:A108"/>
    <mergeCell ref="B107:B108"/>
    <mergeCell ref="C107:C108"/>
    <mergeCell ref="J107:J108"/>
    <mergeCell ref="P107:P108"/>
    <mergeCell ref="Q107:Q108"/>
    <mergeCell ref="O107:O108"/>
    <mergeCell ref="M107:M108"/>
    <mergeCell ref="L107:L108"/>
    <mergeCell ref="I107:I108"/>
    <mergeCell ref="K107:K108"/>
    <mergeCell ref="H107:H108"/>
    <mergeCell ref="G107:G108"/>
    <mergeCell ref="A109:A123"/>
    <mergeCell ref="J109:J113"/>
    <mergeCell ref="P109:P113"/>
    <mergeCell ref="A124:A125"/>
    <mergeCell ref="B124:B125"/>
    <mergeCell ref="C124:C125"/>
    <mergeCell ref="J124:J125"/>
    <mergeCell ref="P124:P125"/>
    <mergeCell ref="G124:G125"/>
    <mergeCell ref="B109:B113"/>
    <mergeCell ref="C109:C113"/>
    <mergeCell ref="H109:H113"/>
    <mergeCell ref="K109:K113"/>
    <mergeCell ref="K124:K125"/>
    <mergeCell ref="A128:A129"/>
    <mergeCell ref="B128:B129"/>
    <mergeCell ref="C128:C129"/>
    <mergeCell ref="J128:J129"/>
    <mergeCell ref="P128:P129"/>
    <mergeCell ref="Q128:Q129"/>
    <mergeCell ref="H128:H129"/>
    <mergeCell ref="I126:I127"/>
    <mergeCell ref="O126:O127"/>
    <mergeCell ref="G128:G129"/>
    <mergeCell ref="I128:I129"/>
    <mergeCell ref="O128:O129"/>
    <mergeCell ref="K126:K127"/>
    <mergeCell ref="K128:K129"/>
    <mergeCell ref="Q124:Q125"/>
    <mergeCell ref="A126:A127"/>
    <mergeCell ref="B126:B127"/>
    <mergeCell ref="Q130:Q131"/>
    <mergeCell ref="Q132:Q133"/>
    <mergeCell ref="A134:A135"/>
    <mergeCell ref="B134:B135"/>
    <mergeCell ref="C134:C135"/>
    <mergeCell ref="E134:E135"/>
    <mergeCell ref="J132:J133"/>
    <mergeCell ref="J134:J135"/>
    <mergeCell ref="P134:P135"/>
    <mergeCell ref="A130:A131"/>
    <mergeCell ref="B130:B131"/>
    <mergeCell ref="C130:C131"/>
    <mergeCell ref="J130:J131"/>
    <mergeCell ref="A132:A133"/>
    <mergeCell ref="B132:B133"/>
    <mergeCell ref="C132:C133"/>
    <mergeCell ref="P130:P131"/>
    <mergeCell ref="P132:P133"/>
    <mergeCell ref="J126:J127"/>
    <mergeCell ref="P126:P127"/>
    <mergeCell ref="Q126:Q127"/>
  </mergeCells>
  <pageMargins left="0.23622047244094491" right="0.23622047244094491" top="0.74803149606299213" bottom="0.74803149606299213" header="0.31496062992125984" footer="0.31496062992125984"/>
  <pageSetup paperSize="8" scale="63" fitToHeight="0" orientation="landscape" r:id="rId1"/>
  <headerFooter>
    <oddHeader xml:space="preserve">&amp;LALLEGATO 1
RELAZIONE SULLA  PERFORMANCE 2017&amp;CTABELLA RISULTATI OBIETTIVI STRATEGICI  2017
</oddHeader>
    <oddFooter>Pagina &amp;P</oddFooter>
  </headerFooter>
  <rowBreaks count="2" manualBreakCount="2">
    <brk id="51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TOTALE</vt:lpstr>
      <vt:lpstr>TOTALE!Area_stampa</vt:lpstr>
      <vt:lpstr>TOTALE!Titoli_stampa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</dc:creator>
  <cp:lastModifiedBy>Antonella</cp:lastModifiedBy>
  <cp:lastPrinted>2018-06-21T14:44:46Z</cp:lastPrinted>
  <dcterms:created xsi:type="dcterms:W3CDTF">2017-04-11T12:19:09Z</dcterms:created>
  <dcterms:modified xsi:type="dcterms:W3CDTF">2018-06-21T14:44:56Z</dcterms:modified>
</cp:coreProperties>
</file>